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66925"/>
  <mc:AlternateContent xmlns:mc="http://schemas.openxmlformats.org/markup-compatibility/2006">
    <mc:Choice Requires="x15">
      <x15ac:absPath xmlns:x15ac="http://schemas.microsoft.com/office/spreadsheetml/2010/11/ac" url="https://acaciaecon.sharepoint.com/sites/ICASAMTR/Shared Documents/General/Cost models/"/>
    </mc:Choice>
  </mc:AlternateContent>
  <xr:revisionPtr revIDLastSave="498" documentId="8_{C8D466F3-75CD-4B82-B733-0D74B983FA9E}" xr6:coauthVersionLast="47" xr6:coauthVersionMax="47" xr10:uidLastSave="{201A76A7-D113-435E-A895-89C2869BABA0}"/>
  <bookViews>
    <workbookView xWindow="-110" yWindow="-110" windowWidth="25180" windowHeight="16140" tabRatio="917" xr2:uid="{F63D13DB-EAF4-4600-B396-F89D7EBFAD03}"/>
  </bookViews>
  <sheets>
    <sheet name="Summary" sheetId="1" r:id="rId1"/>
    <sheet name="BU-LRIC plan" sheetId="12" r:id="rId2"/>
    <sheet name="1 Volumes" sheetId="6" r:id="rId3"/>
    <sheet name="2 Dimensioning" sheetId="15" r:id="rId4"/>
    <sheet name="3 Network demand" sheetId="35" r:id="rId5"/>
    <sheet name="4 Cost - capital" sheetId="3" r:id="rId6"/>
    <sheet name="5 Cost - opex" sheetId="5" r:id="rId7"/>
    <sheet name="6 - Termination" sheetId="95" r:id="rId8"/>
    <sheet name="Core network details &gt;&gt;&gt;&gt;" sheetId="40" r:id="rId9"/>
    <sheet name="Core costs" sheetId="41" r:id="rId10"/>
    <sheet name="Calibration&gt;&gt;&gt;&gt;" sheetId="89" r:id="rId11"/>
    <sheet name="Assets - HCA" sheetId="91" r:id="rId12"/>
    <sheet name="Revenues, costs" sheetId="92" r:id="rId13"/>
    <sheet name="Volumes details &gt;&gt;&gt;&gt;" sheetId="60" r:id="rId14"/>
    <sheet name="Volume projections" sheetId="87" r:id="rId15"/>
    <sheet name="State of ICT sector" sheetId="86" r:id="rId16"/>
    <sheet name="ITU" sheetId="76" r:id="rId17"/>
    <sheet name="Additional inputs &gt;&gt;&gt;&gt;" sheetId="20" r:id="rId18"/>
    <sheet name="Financial Inputs" sheetId="93" r:id="rId19"/>
    <sheet name="Macroeconomic data" sheetId="8" r:id="rId20"/>
    <sheet name="Lists" sheetId="23" r:id="rId21"/>
    <sheet name="Operator data &gt;&gt;&gt;&gt;&gt;&gt;" sheetId="28" r:id="rId22"/>
    <sheet name="Operator - Confidential" sheetId="22" r:id="rId23"/>
  </sheets>
  <definedNames>
    <definedName name="access_sbc_hardware">'2 Dimensioning'!$D$51</definedName>
    <definedName name="access_sbc_software">'2 Dimensioning'!$D$52</definedName>
    <definedName name="as_hardware">'2 Dimensioning'!$D$39</definedName>
    <definedName name="as_software">'2 Dimensioning'!$D$40</definedName>
    <definedName name="bhmins_erlang">'2 Dimensioning'!#REF!</definedName>
    <definedName name="busy_hour_call_attempts">'2 Dimensioning'!$D$137:$W$137</definedName>
    <definedName name="busy_hour_call_attempts_noincoming">'2 Dimensioning'!$Z$137:$AS$137</definedName>
    <definedName name="busy_hour_perc">'2 Dimensioning'!$D$34</definedName>
    <definedName name="capex_price_index">'Core costs'!$D$5:$W$5</definedName>
    <definedName name="capex_price_trend">'Core costs'!$D$4:$W$4</definedName>
    <definedName name="capex_revenues">'6 - Termination'!$E$8:$X$8</definedName>
    <definedName name="capex_tariff">'6 - Termination'!$E$7:$X$7</definedName>
    <definedName name="cdf_hardware">'2 Dimensioning'!$D$41</definedName>
    <definedName name="cdf_software">'2 Dimensioning'!$D$42</definedName>
    <definedName name="core_costs_capex">'4 Cost - capital'!$D$25:$W$25</definedName>
    <definedName name="core_costs_capex_discounted">'4 Cost - capital'!$D$26:$W$26</definedName>
    <definedName name="core_costs_capex_discounted_pv">'4 Cost - capital'!$C$26</definedName>
    <definedName name="core_costs_incoming_only_discounted_pv">'4 Cost - capital'!$AU$26</definedName>
    <definedName name="core_costs_incomingonly">'4 Cost - capital'!$AV$25:$BO$25</definedName>
    <definedName name="core_costs_noincoming">'4 Cost - capital'!$Z$25:$AS$25</definedName>
    <definedName name="core_costs_opex">'5 Cost - opex'!$D$26:$W$26</definedName>
    <definedName name="core_costs_opex_discounted">'5 Cost - opex'!$D$27:$W$27</definedName>
    <definedName name="core_costs_opex_discounted_pv">'5 Cost - opex'!$C$27</definedName>
    <definedName name="core_costs_opex_incoming_only">'5 Cost - opex'!$AV$26:$BO$26</definedName>
    <definedName name="core_costs_opex_incomingonly_discounted_pv">'5 Cost - opex'!$AU$27</definedName>
    <definedName name="core_costs_opex_noincoming">'5 Cost - opex'!$Z$26:$AS$26</definedName>
    <definedName name="core_elements">'3 Network demand'!$A$16:$A$31</definedName>
    <definedName name="core_increm_capex">'3 Network demand'!$D$43:$W$58</definedName>
    <definedName name="core_increm_incoming_only_capex">'3 Network demand'!$AV$43:$BO$58</definedName>
    <definedName name="core_increm_noincoming_capex">'3 Network demand'!$Z$43:$AS$58</definedName>
    <definedName name="core_number_incoming_only_opex">'3 Network demand'!$AV$110:$BO$125</definedName>
    <definedName name="core_number_noincoming_voice_opex">'3 Network demand'!$Z$110:$AS$125</definedName>
    <definedName name="core_number_opex">'3 Network demand'!$D$110:$W$125</definedName>
    <definedName name="core_unit_opex">'Core costs'!$K$41:$S$52</definedName>
    <definedName name="currency_scenario">Lists!$A$12:$A$14</definedName>
    <definedName name="debt_perc">'Financial Inputs'!$B$3</definedName>
    <definedName name="Depreciation_straightline">'Assets - HCA'!$C$11:$V$11</definedName>
    <definedName name="fixed_calls_per_hour">'2 Dimensioning'!$D$110:$W$110</definedName>
    <definedName name="fixed_calls_per_hour_noincoming">'2 Dimensioning'!$Z$110:$AS$110</definedName>
    <definedName name="fixed_calls_per_hour_onnet_factor">'2 Dimensioning'!$D$123:$W$123</definedName>
    <definedName name="fixed_calls_per_hour_onnet_factor_noincoming">'2 Dimensioning'!$Z$123:$AS$123</definedName>
    <definedName name="fixed_calls_persecond">'2 Dimensioning'!$D$152:$W$152</definedName>
    <definedName name="fixed_calls_persecond_noincoming">'2 Dimensioning'!$Z$152:$AS$152</definedName>
    <definedName name="fixed_calls_persecond_onnet_factor">'2 Dimensioning'!$D$164:$W$164</definedName>
    <definedName name="fixed_calls_persecond_onnet_factor_noincoming">'2 Dimensioning'!$Z$164:$AS$164</definedName>
    <definedName name="fixed_calls_service">'2 Dimensioning'!$D$102:$W$108</definedName>
    <definedName name="fixed_calls_service_onnet_factor">'2 Dimensioning'!$D$115:$W$121</definedName>
    <definedName name="fixed_minutes">'2 Dimensioning'!$D$64:$W$70</definedName>
    <definedName name="fixed_minutes_busy_hour">'2 Dimensioning'!$D$78:$W$84</definedName>
    <definedName name="fixed_minutes_busy_hour_onnet_factor">'2 Dimensioning'!$D$89:$W$95</definedName>
    <definedName name="fixed_minutes_incoming">'2 Dimensioning'!$D$169:$W$169</definedName>
    <definedName name="fixed_services">'2 Dimensioning'!$A$64:$A$70</definedName>
    <definedName name="growth_scenarios">Lists!$A$4:$A$6</definedName>
    <definedName name="idle_time">'2 Dimensioning'!$D$24</definedName>
    <definedName name="inflation">'Financial Inputs'!$D$11:$W$11</definedName>
    <definedName name="interr_cscf_hardware">'2 Dimensioning'!$D$45</definedName>
    <definedName name="interr_cscf_software">'2 Dimensioning'!$D$46</definedName>
    <definedName name="ix_sbc_hardware">'2 Dimensioning'!$D$53</definedName>
    <definedName name="ix_sbc_software">'2 Dimensioning'!$D$54</definedName>
    <definedName name="lric_revenues">'Revenues, costs'!$B$6:$U$6</definedName>
    <definedName name="max_load">'3 Network demand'!$C$5</definedName>
    <definedName name="mins_call">'2 Dimensioning'!$D$23</definedName>
    <definedName name="mins_hour">'2 Dimensioning'!$D$11</definedName>
    <definedName name="mrf_hardware">'2 Dimensioning'!$D$49</definedName>
    <definedName name="mrf_software">'2 Dimensioning'!$D$50</definedName>
    <definedName name="onnet_factor">'2 Dimensioning'!$D$17</definedName>
    <definedName name="opex_factor_index">'Core costs'!$D$11:$W$11</definedName>
    <definedName name="opex_price_index">'Core costs'!$D$8:$W$8</definedName>
    <definedName name="opex_revenues">'6 - Termination'!$E$20:$X$20</definedName>
    <definedName name="opex_tariff">'6 - Termination'!$E$19:$X$19</definedName>
    <definedName name="proxy_cscf_hardware">'2 Dimensioning'!$D$43</definedName>
    <definedName name="proxy_cscf_software">'2 Dimensioning'!$D$44</definedName>
    <definedName name="pure_lric">'6 - Termination'!$E$29:$X$29</definedName>
    <definedName name="pv_capex_volumes">'6 - Termination'!$D$14</definedName>
    <definedName name="pv_opex_volumes">'6 - Termination'!$D$26</definedName>
    <definedName name="pv_volumes_capex">'6 - Termination'!#REF!</definedName>
    <definedName name="redundancy">'3 Network demand'!$C$6</definedName>
    <definedName name="sec_minute">'2 Dimensioning'!$D$10</definedName>
    <definedName name="serve_cscf_hardware">'2 Dimensioning'!$D$47</definedName>
    <definedName name="serve_cscf_software">'2 Dimensioning'!$D$48</definedName>
    <definedName name="share_operator">Summary!$B$24</definedName>
    <definedName name="time_index">'3 Network demand'!$D$41:$W$41</definedName>
    <definedName name="total_costs_core_capex">'Core costs'!$D$35:$W$35</definedName>
    <definedName name="total_costs_core_opex">'Core costs'!$D$58:$W$58</definedName>
    <definedName name="total_volumes_discounted">'6 - Termination'!#REF!</definedName>
    <definedName name="unit_costs_core_capex">'Core costs'!$D$18:$W$33</definedName>
    <definedName name="unit_costs_core_opex">'Core costs'!$D$41:$W$56</definedName>
    <definedName name="unsuccessful_calls_perc">'2 Dimensioning'!$D$22</definedName>
    <definedName name="volume_ed_capex">'6 - Termination'!$E$13:$X$13</definedName>
    <definedName name="volume_ed_opex">'6 - Termination'!$E$25:$X$25</definedName>
    <definedName name="wacc_index">'Financial Inputs'!$D$23:$W$23</definedName>
    <definedName name="wacc_nom_pretax">'Financial Inputs'!$D$22:$W$22</definedName>
    <definedName name="years">Summary!$B$29:$U$29</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41" l="1" a="1"/>
  <c r="D41" i="41" s="1"/>
  <c r="F11" i="41"/>
  <c r="G11" i="41" s="1"/>
  <c r="H11" i="41" s="1"/>
  <c r="I11" i="41" s="1"/>
  <c r="J11" i="41" s="1"/>
  <c r="K11" i="41" s="1"/>
  <c r="L11" i="41" s="1"/>
  <c r="M11" i="41" s="1"/>
  <c r="N11" i="41" s="1"/>
  <c r="O11" i="41" s="1"/>
  <c r="P11" i="41" s="1"/>
  <c r="Q11" i="41" s="1"/>
  <c r="R11" i="41" s="1"/>
  <c r="S11" i="41" s="1"/>
  <c r="T11" i="41" s="1"/>
  <c r="U11" i="41" s="1"/>
  <c r="V11" i="41" s="1"/>
  <c r="W11" i="41" s="1"/>
  <c r="E11" i="41"/>
  <c r="D11" i="41"/>
  <c r="C4" i="41"/>
  <c r="C10" i="93"/>
  <c r="J10" i="93"/>
  <c r="K10" i="93"/>
  <c r="L10" i="93"/>
  <c r="M10" i="93"/>
  <c r="N10" i="93"/>
  <c r="O10" i="93"/>
  <c r="P10" i="93"/>
  <c r="Q10" i="93"/>
  <c r="R10" i="93"/>
  <c r="S10" i="93"/>
  <c r="T10" i="93"/>
  <c r="U10" i="93"/>
  <c r="V10" i="93"/>
  <c r="W10" i="93"/>
  <c r="F10" i="93"/>
  <c r="G10" i="93"/>
  <c r="H10" i="93"/>
  <c r="I10" i="93"/>
  <c r="E10" i="93"/>
  <c r="D35" i="41" l="1"/>
  <c r="D9" i="93"/>
  <c r="D11" i="93"/>
  <c r="D4" i="41" s="1"/>
  <c r="J5" i="8"/>
  <c r="E65" i="35"/>
  <c r="E38" i="95" a="1"/>
  <c r="E38" i="95" s="1"/>
  <c r="E28" i="95" a="1"/>
  <c r="E28" i="95" s="1"/>
  <c r="F65" i="35"/>
  <c r="G65" i="35"/>
  <c r="H65" i="35"/>
  <c r="I65" i="35"/>
  <c r="J65" i="35"/>
  <c r="F66" i="35"/>
  <c r="G66" i="35"/>
  <c r="H66" i="35"/>
  <c r="I66" i="35"/>
  <c r="J66" i="35"/>
  <c r="F67" i="35"/>
  <c r="G67" i="35"/>
  <c r="H67" i="35"/>
  <c r="I67" i="35"/>
  <c r="J67" i="35"/>
  <c r="F68" i="35"/>
  <c r="G68" i="35"/>
  <c r="H68" i="35"/>
  <c r="I68" i="35"/>
  <c r="J68" i="35"/>
  <c r="F69" i="35"/>
  <c r="G69" i="35"/>
  <c r="H69" i="35"/>
  <c r="I69" i="35"/>
  <c r="J69" i="35"/>
  <c r="F70" i="35"/>
  <c r="G70" i="35"/>
  <c r="H70" i="35"/>
  <c r="I70" i="35"/>
  <c r="J70" i="35"/>
  <c r="F71" i="35"/>
  <c r="G71" i="35"/>
  <c r="H71" i="35"/>
  <c r="I71" i="35"/>
  <c r="J71" i="35"/>
  <c r="F72" i="35"/>
  <c r="G72" i="35"/>
  <c r="H72" i="35"/>
  <c r="I72" i="35"/>
  <c r="J72" i="35"/>
  <c r="F73" i="35"/>
  <c r="G73" i="35"/>
  <c r="H73" i="35"/>
  <c r="I73" i="35"/>
  <c r="J73" i="35"/>
  <c r="F74" i="35"/>
  <c r="G74" i="35"/>
  <c r="H74" i="35"/>
  <c r="I74" i="35"/>
  <c r="J74" i="35"/>
  <c r="F75" i="35"/>
  <c r="G75" i="35"/>
  <c r="H75" i="35"/>
  <c r="I75" i="35"/>
  <c r="J75" i="35"/>
  <c r="F76" i="35"/>
  <c r="G76" i="35"/>
  <c r="H76" i="35"/>
  <c r="I76" i="35"/>
  <c r="J76" i="35"/>
  <c r="F77" i="35"/>
  <c r="G77" i="35"/>
  <c r="H77" i="35"/>
  <c r="I77" i="35"/>
  <c r="J77" i="35"/>
  <c r="F78" i="35"/>
  <c r="G78" i="35"/>
  <c r="H78" i="35"/>
  <c r="I78" i="35"/>
  <c r="J78" i="35"/>
  <c r="F79" i="35"/>
  <c r="G79" i="35"/>
  <c r="H79" i="35"/>
  <c r="I79" i="35"/>
  <c r="J79" i="35"/>
  <c r="F80" i="35"/>
  <c r="G80" i="35"/>
  <c r="H80" i="35"/>
  <c r="I80" i="35"/>
  <c r="J80" i="35"/>
  <c r="E66" i="35"/>
  <c r="E67" i="35"/>
  <c r="E68" i="35"/>
  <c r="E69" i="35"/>
  <c r="E70" i="35"/>
  <c r="E71" i="35"/>
  <c r="E72" i="35"/>
  <c r="E73" i="35"/>
  <c r="E74" i="35"/>
  <c r="E75" i="35"/>
  <c r="E76" i="35"/>
  <c r="E77" i="35"/>
  <c r="E78" i="35"/>
  <c r="E79" i="35"/>
  <c r="E80" i="35"/>
  <c r="E17" i="95" a="1"/>
  <c r="E17" i="95" s="1"/>
  <c r="E5" i="95" a="1"/>
  <c r="E5" i="95" s="1"/>
  <c r="E4" i="41"/>
  <c r="E5" i="41" s="1"/>
  <c r="E22" i="41" s="1"/>
  <c r="W18" i="93"/>
  <c r="V18" i="93"/>
  <c r="U18" i="93"/>
  <c r="T18" i="93"/>
  <c r="S18" i="93"/>
  <c r="S20" i="93" s="1"/>
  <c r="S22" i="93" s="1"/>
  <c r="S21" i="93" s="1"/>
  <c r="R18" i="93"/>
  <c r="R20" i="93" s="1"/>
  <c r="R22" i="93" s="1"/>
  <c r="R21" i="93" s="1"/>
  <c r="Q18" i="93"/>
  <c r="P18" i="93"/>
  <c r="O18" i="93"/>
  <c r="N18" i="93"/>
  <c r="M18" i="93"/>
  <c r="L18" i="93"/>
  <c r="L20" i="93" s="1"/>
  <c r="L22" i="93" s="1"/>
  <c r="L21" i="93" s="1"/>
  <c r="K18" i="93"/>
  <c r="J18" i="93"/>
  <c r="J20" i="93" s="1"/>
  <c r="J22" i="93" s="1"/>
  <c r="J21" i="93" s="1"/>
  <c r="I18" i="93"/>
  <c r="H18" i="93"/>
  <c r="G18" i="93"/>
  <c r="F18" i="93"/>
  <c r="E18" i="93"/>
  <c r="D18" i="93"/>
  <c r="W16" i="93"/>
  <c r="W19" i="93" s="1"/>
  <c r="W20" i="93" s="1"/>
  <c r="W22" i="93" s="1"/>
  <c r="W21" i="93" s="1"/>
  <c r="V16" i="93"/>
  <c r="V19" i="93" s="1"/>
  <c r="V20" i="93" s="1"/>
  <c r="V22" i="93" s="1"/>
  <c r="V21" i="93" s="1"/>
  <c r="U16" i="93"/>
  <c r="U19" i="93" s="1"/>
  <c r="T16" i="93"/>
  <c r="T19" i="93" s="1"/>
  <c r="S16" i="93"/>
  <c r="S19" i="93" s="1"/>
  <c r="R16" i="93"/>
  <c r="R19" i="93" s="1"/>
  <c r="Q16" i="93"/>
  <c r="Q19" i="93" s="1"/>
  <c r="P16" i="93"/>
  <c r="P19" i="93" s="1"/>
  <c r="O16" i="93"/>
  <c r="O19" i="93" s="1"/>
  <c r="N16" i="93"/>
  <c r="N19" i="93" s="1"/>
  <c r="N20" i="93" s="1"/>
  <c r="N22" i="93" s="1"/>
  <c r="N21" i="93" s="1"/>
  <c r="M16" i="93"/>
  <c r="M19" i="93" s="1"/>
  <c r="L16" i="93"/>
  <c r="L19" i="93" s="1"/>
  <c r="K16" i="93"/>
  <c r="K19" i="93" s="1"/>
  <c r="J16" i="93"/>
  <c r="J19" i="93" s="1"/>
  <c r="I16" i="93"/>
  <c r="I19" i="93" s="1"/>
  <c r="H16" i="93"/>
  <c r="H19" i="93" s="1"/>
  <c r="G16" i="93"/>
  <c r="G19" i="93" s="1"/>
  <c r="G20" i="93" s="1"/>
  <c r="G22" i="93" s="1"/>
  <c r="G21" i="93" s="1"/>
  <c r="F16" i="93"/>
  <c r="F19" i="93" s="1"/>
  <c r="E16" i="93"/>
  <c r="E19" i="93" s="1"/>
  <c r="D16" i="93"/>
  <c r="D19" i="93" s="1"/>
  <c r="W11" i="93"/>
  <c r="V11" i="93"/>
  <c r="U11" i="93"/>
  <c r="T11" i="93"/>
  <c r="S11" i="93"/>
  <c r="R11" i="93"/>
  <c r="Q11" i="93"/>
  <c r="P11" i="93"/>
  <c r="O11" i="93"/>
  <c r="N11" i="93"/>
  <c r="M11" i="93"/>
  <c r="L11" i="93"/>
  <c r="K11" i="93"/>
  <c r="J11" i="93"/>
  <c r="I11" i="93"/>
  <c r="H11" i="93"/>
  <c r="G11" i="93"/>
  <c r="F11" i="93"/>
  <c r="E11" i="93"/>
  <c r="D6" i="93" a="1"/>
  <c r="D6" i="93" s="1"/>
  <c r="H20" i="93"/>
  <c r="H22" i="93" s="1"/>
  <c r="H21" i="93" s="1"/>
  <c r="T20" i="93"/>
  <c r="T22" i="93" s="1"/>
  <c r="T21" i="93" s="1"/>
  <c r="E20" i="93"/>
  <c r="E22" i="93" s="1"/>
  <c r="E21" i="93" s="1"/>
  <c r="I20" i="93"/>
  <c r="I22" i="93" s="1"/>
  <c r="I21" i="93" s="1"/>
  <c r="M20" i="93"/>
  <c r="M22" i="93" s="1"/>
  <c r="M21" i="93" s="1"/>
  <c r="Q20" i="93"/>
  <c r="Q22" i="93" s="1"/>
  <c r="Q21" i="93" s="1"/>
  <c r="U20" i="93"/>
  <c r="U22" i="93" s="1"/>
  <c r="U21" i="93" s="1"/>
  <c r="D20" i="93"/>
  <c r="D22" i="93" s="1"/>
  <c r="D23" i="93" s="1"/>
  <c r="E23" i="93" s="1"/>
  <c r="F23" i="93" s="1"/>
  <c r="P20" i="93"/>
  <c r="P22" i="93" s="1"/>
  <c r="P21" i="93" s="1"/>
  <c r="F20" i="93"/>
  <c r="F22" i="93" s="1"/>
  <c r="F21" i="93" s="1"/>
  <c r="K20" i="93"/>
  <c r="K22" i="93" s="1"/>
  <c r="K21" i="93" s="1"/>
  <c r="O20" i="93"/>
  <c r="O22" i="93" s="1"/>
  <c r="O21" i="93" s="1"/>
  <c r="H5" i="8"/>
  <c r="AV8" i="5" a="1"/>
  <c r="AV8" i="5" s="1"/>
  <c r="AV7" i="5" a="1"/>
  <c r="AV7" i="5" s="1"/>
  <c r="AV7" i="3" a="1"/>
  <c r="AV7" i="3" s="1"/>
  <c r="AV42" i="35" a="1"/>
  <c r="AV42" i="35" s="1"/>
  <c r="AV41" i="35" a="1"/>
  <c r="AV41" i="35" s="1"/>
  <c r="AV109" i="35" a="1"/>
  <c r="AV109" i="35" s="1"/>
  <c r="AV108" i="35" a="1"/>
  <c r="AV108" i="35" s="1"/>
  <c r="D30" i="15"/>
  <c r="D34" i="15" s="1"/>
  <c r="A110" i="35" a="1"/>
  <c r="A110" i="35" s="1"/>
  <c r="Z109" i="35" a="1"/>
  <c r="Z109" i="35" s="1"/>
  <c r="D109" i="35" a="1"/>
  <c r="D109" i="35" s="1"/>
  <c r="Z108" i="35" a="1"/>
  <c r="Z108" i="35" s="1"/>
  <c r="A65" i="35" a="1"/>
  <c r="A65" i="35" s="1"/>
  <c r="Z64" i="35" a="1"/>
  <c r="Z64" i="35" s="1"/>
  <c r="D64" i="35" a="1"/>
  <c r="D64" i="35" s="1"/>
  <c r="Z63" i="35" a="1"/>
  <c r="Z63" i="35" s="1"/>
  <c r="A87" i="35" a="1"/>
  <c r="A87" i="35" s="1"/>
  <c r="Z86" i="35" a="1"/>
  <c r="Z86" i="35" s="1"/>
  <c r="D86" i="35" a="1"/>
  <c r="D86" i="35" s="1"/>
  <c r="AE65" i="35"/>
  <c r="AD66" i="35"/>
  <c r="AB68" i="35"/>
  <c r="AF68" i="35"/>
  <c r="AB72" i="35"/>
  <c r="AF72" i="35"/>
  <c r="AD74" i="35"/>
  <c r="AC75" i="35"/>
  <c r="AD78" i="35"/>
  <c r="AC79" i="35"/>
  <c r="AF80" i="35"/>
  <c r="AA69" i="35"/>
  <c r="AA73" i="35"/>
  <c r="AC80" i="35"/>
  <c r="AA66" i="35"/>
  <c r="AA74" i="35"/>
  <c r="AA78" i="35"/>
  <c r="AB65" i="35"/>
  <c r="AD67" i="35"/>
  <c r="AC68" i="35"/>
  <c r="AF69" i="35"/>
  <c r="AE70" i="35"/>
  <c r="AD71" i="35"/>
  <c r="AF73" i="35"/>
  <c r="AE74" i="35"/>
  <c r="AC76" i="35"/>
  <c r="AB77" i="35"/>
  <c r="AF77" i="35"/>
  <c r="AC65" i="35"/>
  <c r="AB66" i="35"/>
  <c r="AE67" i="35"/>
  <c r="AD68" i="35"/>
  <c r="AC69" i="35"/>
  <c r="AE71" i="35"/>
  <c r="AD72" i="35"/>
  <c r="AB74" i="35"/>
  <c r="AF74" i="35"/>
  <c r="AE75" i="35"/>
  <c r="AD76" i="35"/>
  <c r="AC77" i="35"/>
  <c r="AB78" i="35"/>
  <c r="AF78" i="35"/>
  <c r="AE79" i="35"/>
  <c r="AD80" i="35"/>
  <c r="AA67" i="35"/>
  <c r="AA71" i="35"/>
  <c r="AA75" i="35"/>
  <c r="AA79" i="35"/>
  <c r="AD65" i="35"/>
  <c r="AC66" i="35"/>
  <c r="AB67" i="35"/>
  <c r="AF67" i="35"/>
  <c r="AE68" i="35"/>
  <c r="AD69" i="35"/>
  <c r="AC70" i="35"/>
  <c r="AB71" i="35"/>
  <c r="AF71" i="35"/>
  <c r="AE72" i="35"/>
  <c r="AD73" i="35"/>
  <c r="AC74" i="35"/>
  <c r="AB75" i="35"/>
  <c r="AF75" i="35"/>
  <c r="AE76" i="35"/>
  <c r="AD77" i="35"/>
  <c r="AC78" i="35"/>
  <c r="AB79" i="35"/>
  <c r="AF79" i="35"/>
  <c r="AE80" i="35"/>
  <c r="AA68" i="35"/>
  <c r="AA72" i="35"/>
  <c r="AA76" i="35"/>
  <c r="AA80" i="35"/>
  <c r="AA5" i="8"/>
  <c r="Z5" i="8"/>
  <c r="Y5" i="8"/>
  <c r="X5" i="8"/>
  <c r="W5" i="8"/>
  <c r="V5" i="8"/>
  <c r="U5" i="8"/>
  <c r="T5" i="8"/>
  <c r="S5" i="8"/>
  <c r="R5" i="8"/>
  <c r="Q5" i="8"/>
  <c r="P5" i="8"/>
  <c r="O5" i="8"/>
  <c r="N5" i="8"/>
  <c r="M5" i="8"/>
  <c r="L5" i="8"/>
  <c r="K5" i="8"/>
  <c r="I5" i="8"/>
  <c r="B54" i="87" a="1"/>
  <c r="B54" i="87" s="1"/>
  <c r="B7" i="91"/>
  <c r="A6" i="91"/>
  <c r="C5" i="91" a="1"/>
  <c r="C5" i="91" s="1"/>
  <c r="A15" i="92"/>
  <c r="B14" i="92" a="1"/>
  <c r="B14" i="92" s="1"/>
  <c r="B5" i="92" a="1"/>
  <c r="B5" i="92" s="1"/>
  <c r="A19" i="6"/>
  <c r="A66" i="15" s="1"/>
  <c r="B19" i="87" a="1"/>
  <c r="B33" i="87" a="1"/>
  <c r="H28" i="6" s="1"/>
  <c r="B40" i="87" a="1"/>
  <c r="B40" i="87" s="1"/>
  <c r="B35" i="6" s="1"/>
  <c r="B47" i="87" a="1"/>
  <c r="B47" i="87" s="1"/>
  <c r="B41" i="6" s="1"/>
  <c r="B47" i="6"/>
  <c r="M28" i="6"/>
  <c r="C14" i="6"/>
  <c r="D14" i="6"/>
  <c r="E14" i="6"/>
  <c r="F14" i="6"/>
  <c r="G14" i="6"/>
  <c r="H14" i="6"/>
  <c r="I14" i="6"/>
  <c r="J14" i="6"/>
  <c r="K14" i="6"/>
  <c r="L14" i="6"/>
  <c r="M14" i="6"/>
  <c r="N14" i="6"/>
  <c r="O14" i="6"/>
  <c r="P14" i="6"/>
  <c r="B19" i="87"/>
  <c r="E26" i="87"/>
  <c r="E21" i="6" s="1"/>
  <c r="M26" i="87"/>
  <c r="M21" i="6" s="1"/>
  <c r="U26" i="87"/>
  <c r="U21" i="6" s="1"/>
  <c r="T26" i="87"/>
  <c r="T21" i="6" s="1"/>
  <c r="F26" i="87"/>
  <c r="F21" i="6" s="1"/>
  <c r="N26" i="87"/>
  <c r="N21" i="6" s="1"/>
  <c r="G26" i="87"/>
  <c r="G21" i="6" s="1"/>
  <c r="O26" i="87"/>
  <c r="O21" i="6" s="1"/>
  <c r="Q26" i="87"/>
  <c r="Q21" i="6" s="1"/>
  <c r="J26" i="87"/>
  <c r="J21" i="6" s="1"/>
  <c r="H26" i="87"/>
  <c r="H21" i="6" s="1"/>
  <c r="P26" i="87"/>
  <c r="P21" i="6" s="1"/>
  <c r="R26" i="87"/>
  <c r="R21" i="6" s="1"/>
  <c r="I26" i="87"/>
  <c r="I21" i="6" s="1"/>
  <c r="D26" i="87"/>
  <c r="D21" i="6" s="1"/>
  <c r="C26" i="87"/>
  <c r="C21" i="6" s="1"/>
  <c r="K26" i="87"/>
  <c r="K21" i="6" s="1"/>
  <c r="S26" i="87"/>
  <c r="S21" i="6" s="1"/>
  <c r="L26" i="87"/>
  <c r="L21" i="6" s="1"/>
  <c r="F28" i="6"/>
  <c r="L28" i="6"/>
  <c r="D28" i="6"/>
  <c r="I28" i="6"/>
  <c r="N28" i="6"/>
  <c r="N47" i="6"/>
  <c r="M47" i="6"/>
  <c r="J47" i="6"/>
  <c r="I47" i="6"/>
  <c r="P47" i="6"/>
  <c r="L47" i="6"/>
  <c r="H47" i="6"/>
  <c r="O47" i="6"/>
  <c r="K47" i="6"/>
  <c r="G47" i="6"/>
  <c r="E28" i="6"/>
  <c r="J28" i="6"/>
  <c r="P28" i="6"/>
  <c r="B33" i="87"/>
  <c r="B28" i="6" s="1"/>
  <c r="T28" i="6"/>
  <c r="R28" i="6"/>
  <c r="S14" i="6"/>
  <c r="Q28" i="6"/>
  <c r="T47" i="6"/>
  <c r="R14" i="6"/>
  <c r="U28" i="6"/>
  <c r="S47" i="6"/>
  <c r="T14" i="6"/>
  <c r="U47" i="6"/>
  <c r="Q47" i="6"/>
  <c r="U14" i="6"/>
  <c r="Q14" i="6"/>
  <c r="R47" i="6"/>
  <c r="S28" i="6"/>
  <c r="O28" i="6"/>
  <c r="K28" i="6"/>
  <c r="G28" i="6"/>
  <c r="C28" i="6"/>
  <c r="K35" i="6"/>
  <c r="F47" i="6"/>
  <c r="C35" i="6"/>
  <c r="E47" i="6"/>
  <c r="S35" i="6"/>
  <c r="R35" i="6"/>
  <c r="J35" i="6"/>
  <c r="R41" i="6"/>
  <c r="O35" i="6"/>
  <c r="G35" i="6"/>
  <c r="N41" i="6"/>
  <c r="D47" i="6"/>
  <c r="F41" i="6"/>
  <c r="N35" i="6"/>
  <c r="F35" i="6"/>
  <c r="J41" i="6"/>
  <c r="U35" i="6"/>
  <c r="Q35" i="6"/>
  <c r="M35" i="6"/>
  <c r="I35" i="6"/>
  <c r="E35" i="6"/>
  <c r="T41" i="6"/>
  <c r="P41" i="6"/>
  <c r="L41" i="6"/>
  <c r="H41" i="6"/>
  <c r="D41" i="6"/>
  <c r="C47" i="6"/>
  <c r="U41" i="6"/>
  <c r="Q41" i="6"/>
  <c r="M41" i="6"/>
  <c r="I41" i="6"/>
  <c r="E41" i="6"/>
  <c r="T35" i="6"/>
  <c r="P35" i="6"/>
  <c r="L35" i="6"/>
  <c r="H35" i="6"/>
  <c r="D35" i="6"/>
  <c r="S41" i="6"/>
  <c r="O41" i="6"/>
  <c r="K41" i="6"/>
  <c r="G41" i="6"/>
  <c r="C41" i="6"/>
  <c r="B14" i="6"/>
  <c r="B26" i="87"/>
  <c r="B21" i="6" s="1"/>
  <c r="B39" i="8" a="1"/>
  <c r="B39" i="8" s="1"/>
  <c r="B33" i="8" a="1"/>
  <c r="B33" i="8" s="1"/>
  <c r="B28" i="8" a="1"/>
  <c r="B28" i="8" s="1"/>
  <c r="D88" i="15" a="1"/>
  <c r="D88" i="15" s="1"/>
  <c r="Z143" i="15" a="1"/>
  <c r="Z143" i="15" s="1"/>
  <c r="D143" i="15" a="1"/>
  <c r="D143" i="15" s="1"/>
  <c r="E11" i="76"/>
  <c r="C43" i="87" s="1"/>
  <c r="C38" i="6" s="1"/>
  <c r="E10" i="76"/>
  <c r="E9" i="76"/>
  <c r="C57" i="87" s="1"/>
  <c r="C50" i="6" s="1"/>
  <c r="E8" i="76"/>
  <c r="C50" i="87" s="1"/>
  <c r="C44" i="6" s="1"/>
  <c r="E7" i="76"/>
  <c r="C35" i="87" s="1"/>
  <c r="C30" i="6" s="1"/>
  <c r="E67" i="15" s="1"/>
  <c r="E6" i="76"/>
  <c r="C15" i="87" s="1"/>
  <c r="C10" i="6" s="1"/>
  <c r="Z114" i="15" a="1"/>
  <c r="Z114" i="15" s="1"/>
  <c r="D114" i="15" a="1"/>
  <c r="D114" i="15" s="1"/>
  <c r="D11" i="76"/>
  <c r="B43" i="87" s="1"/>
  <c r="B38" i="6" s="1"/>
  <c r="F11" i="76"/>
  <c r="D43" i="87" s="1"/>
  <c r="D38" i="6" s="1"/>
  <c r="G11" i="76"/>
  <c r="E42" i="87" s="1"/>
  <c r="W8" i="93"/>
  <c r="S8" i="93"/>
  <c r="O8" i="93"/>
  <c r="K8" i="93"/>
  <c r="G8" i="93"/>
  <c r="P8" i="93"/>
  <c r="H8" i="93"/>
  <c r="V8" i="93"/>
  <c r="R8" i="93"/>
  <c r="N8" i="93"/>
  <c r="J8" i="93"/>
  <c r="F8" i="93"/>
  <c r="L8" i="93"/>
  <c r="D8" i="93"/>
  <c r="U8" i="93"/>
  <c r="Q8" i="93"/>
  <c r="M8" i="93"/>
  <c r="I8" i="93"/>
  <c r="E8" i="93"/>
  <c r="T8" i="93"/>
  <c r="W9" i="93"/>
  <c r="S9" i="93"/>
  <c r="O9" i="93"/>
  <c r="K9" i="93"/>
  <c r="G9" i="93"/>
  <c r="P9" i="93"/>
  <c r="H9" i="93"/>
  <c r="V9" i="93"/>
  <c r="R9" i="93"/>
  <c r="N9" i="93"/>
  <c r="J9" i="93"/>
  <c r="F9" i="93"/>
  <c r="L9" i="93"/>
  <c r="U9" i="93"/>
  <c r="Q9" i="93"/>
  <c r="M9" i="93"/>
  <c r="I9" i="93"/>
  <c r="E9" i="93"/>
  <c r="T9" i="93"/>
  <c r="W7" i="93"/>
  <c r="S7" i="93"/>
  <c r="O7" i="93"/>
  <c r="K7" i="93"/>
  <c r="G7" i="93"/>
  <c r="E7" i="93"/>
  <c r="P7" i="93"/>
  <c r="H7" i="93"/>
  <c r="V7" i="93"/>
  <c r="R7" i="93"/>
  <c r="N7" i="93"/>
  <c r="J7" i="93"/>
  <c r="F7" i="93"/>
  <c r="I7" i="93"/>
  <c r="L7" i="93"/>
  <c r="U7" i="93"/>
  <c r="Q7" i="93"/>
  <c r="M7" i="93"/>
  <c r="T7" i="93"/>
  <c r="D7" i="93"/>
  <c r="B41" i="87"/>
  <c r="B36" i="6" s="1"/>
  <c r="B42" i="87"/>
  <c r="B37" i="6" s="1"/>
  <c r="C36" i="87"/>
  <c r="C31" i="6" s="1"/>
  <c r="C42" i="87"/>
  <c r="C37" i="6" s="1"/>
  <c r="E68" i="15" s="1"/>
  <c r="E43" i="87"/>
  <c r="F43" i="87" s="1"/>
  <c r="C14" i="87"/>
  <c r="C9" i="6" s="1"/>
  <c r="D10" i="76"/>
  <c r="D9" i="76"/>
  <c r="D8" i="76"/>
  <c r="B49" i="87" s="1"/>
  <c r="B43" i="6" s="1"/>
  <c r="D69" i="15" s="1"/>
  <c r="D7" i="76"/>
  <c r="B36" i="87" s="1"/>
  <c r="B31" i="6" s="1"/>
  <c r="Z155" i="15" a="1"/>
  <c r="Z155" i="15" s="1"/>
  <c r="Z128" i="15" a="1"/>
  <c r="Z128" i="15" s="1"/>
  <c r="Z101" i="15" a="1"/>
  <c r="Z101" i="15" s="1"/>
  <c r="G10" i="76"/>
  <c r="G9" i="76"/>
  <c r="E56" i="87" s="1"/>
  <c r="G8" i="76"/>
  <c r="G7" i="76"/>
  <c r="E36" i="87" s="1"/>
  <c r="G6" i="76"/>
  <c r="E13" i="87" s="1"/>
  <c r="F10" i="76"/>
  <c r="F9" i="76"/>
  <c r="D57" i="87" s="1"/>
  <c r="D50" i="6" s="1"/>
  <c r="F8" i="76"/>
  <c r="D50" i="87" s="1"/>
  <c r="D44" i="6" s="1"/>
  <c r="F6" i="76"/>
  <c r="D22" i="87" s="1"/>
  <c r="D6" i="76"/>
  <c r="B15" i="87" s="1"/>
  <c r="B10" i="6" s="1"/>
  <c r="F7" i="76"/>
  <c r="D35" i="87" s="1"/>
  <c r="D30" i="6" s="1"/>
  <c r="F67" i="15" s="1"/>
  <c r="B26" i="35"/>
  <c r="B27" i="35"/>
  <c r="D3" i="41" a="1"/>
  <c r="D3" i="41" s="1"/>
  <c r="F4" i="41"/>
  <c r="G4" i="41"/>
  <c r="H4" i="41"/>
  <c r="I4" i="41"/>
  <c r="J4" i="41"/>
  <c r="K4" i="41"/>
  <c r="L4" i="41"/>
  <c r="M4" i="41"/>
  <c r="N4" i="41"/>
  <c r="O4" i="41"/>
  <c r="P4" i="41"/>
  <c r="Q4" i="41"/>
  <c r="R4" i="41"/>
  <c r="S4" i="41"/>
  <c r="T4" i="41"/>
  <c r="U4" i="41"/>
  <c r="V4" i="41"/>
  <c r="W4" i="41"/>
  <c r="E38" i="6"/>
  <c r="D20" i="87"/>
  <c r="D15" i="6" s="1"/>
  <c r="D13" i="87"/>
  <c r="D8" i="6" s="1"/>
  <c r="D21" i="87"/>
  <c r="D28" i="87" s="1"/>
  <c r="D23" i="6" s="1"/>
  <c r="F66" i="15" s="1"/>
  <c r="E49" i="87"/>
  <c r="E43" i="6" s="1"/>
  <c r="G69" i="15" s="1"/>
  <c r="E48" i="87"/>
  <c r="F48" i="87" s="1"/>
  <c r="E50" i="87"/>
  <c r="E44" i="6" s="1"/>
  <c r="B50" i="87"/>
  <c r="B44" i="6" s="1"/>
  <c r="E57" i="87"/>
  <c r="E50" i="6" s="1"/>
  <c r="E55" i="87"/>
  <c r="E48" i="6" s="1"/>
  <c r="B57" i="87"/>
  <c r="B50" i="6" s="1"/>
  <c r="B56" i="87"/>
  <c r="B49" i="6" s="1"/>
  <c r="B55" i="87"/>
  <c r="B48" i="6" s="1"/>
  <c r="A41" i="41" a="1"/>
  <c r="A41" i="41" s="1"/>
  <c r="A18" i="41" a="1"/>
  <c r="A18" i="41" s="1"/>
  <c r="A8" i="3" a="1"/>
  <c r="A8" i="3" s="1"/>
  <c r="F55" i="87"/>
  <c r="G55" i="87" s="1"/>
  <c r="F57" i="87"/>
  <c r="G57" i="87" s="1"/>
  <c r="B17" i="35"/>
  <c r="B18" i="35"/>
  <c r="B19" i="35"/>
  <c r="B20" i="35"/>
  <c r="B21" i="35"/>
  <c r="B22" i="35"/>
  <c r="B23" i="35"/>
  <c r="B24" i="35"/>
  <c r="B25" i="35"/>
  <c r="B28" i="35"/>
  <c r="B29" i="35"/>
  <c r="B30" i="35"/>
  <c r="B31" i="35"/>
  <c r="B16" i="35"/>
  <c r="D155" i="15" a="1"/>
  <c r="D155" i="15" s="1"/>
  <c r="D128" i="15" a="1"/>
  <c r="D128" i="15" s="1"/>
  <c r="D63" i="15" a="1"/>
  <c r="D63" i="15" s="1"/>
  <c r="F50" i="6"/>
  <c r="A39" i="15" a="1"/>
  <c r="A39" i="15" s="1"/>
  <c r="A43" i="35" a="1"/>
  <c r="A43" i="35" s="1"/>
  <c r="A12" i="6"/>
  <c r="A65" i="15" s="1"/>
  <c r="A5" i="6"/>
  <c r="A64" i="15" s="1"/>
  <c r="A55" i="87" a="1"/>
  <c r="A55" i="87" s="1"/>
  <c r="A48" i="6" s="1"/>
  <c r="A48" i="87" a="1"/>
  <c r="A48" i="87" s="1"/>
  <c r="A42" i="6" s="1"/>
  <c r="A20" i="87" a="1"/>
  <c r="A29" i="87" s="1"/>
  <c r="A24" i="6" s="1"/>
  <c r="A52" i="87"/>
  <c r="A46" i="6" s="1"/>
  <c r="A70" i="15" s="1"/>
  <c r="A45" i="87"/>
  <c r="A40" i="6" s="1"/>
  <c r="A69" i="15" s="1"/>
  <c r="A41" i="87" a="1"/>
  <c r="A41" i="87" s="1"/>
  <c r="A36" i="6" s="1"/>
  <c r="A34" i="87" a="1"/>
  <c r="A34" i="87" s="1"/>
  <c r="A29" i="6" s="1"/>
  <c r="A38" i="87"/>
  <c r="A33" i="6" s="1"/>
  <c r="A68" i="15" s="1"/>
  <c r="A31" i="87"/>
  <c r="A26" i="6" s="1"/>
  <c r="A67" i="15" s="1"/>
  <c r="B12" i="87" a="1"/>
  <c r="A4" i="87" a="1"/>
  <c r="A4" i="87" s="1"/>
  <c r="A13" i="87" a="1"/>
  <c r="A13" i="87" s="1"/>
  <c r="A8" i="6" s="1"/>
  <c r="A20" i="87"/>
  <c r="A28" i="87"/>
  <c r="A23" i="6" s="1"/>
  <c r="C7" i="6"/>
  <c r="G7" i="6"/>
  <c r="K7" i="6"/>
  <c r="O7" i="6"/>
  <c r="S7" i="6"/>
  <c r="E7" i="6"/>
  <c r="I7" i="6"/>
  <c r="Q7" i="6"/>
  <c r="J7" i="6"/>
  <c r="R7" i="6"/>
  <c r="D7" i="6"/>
  <c r="H7" i="6"/>
  <c r="L7" i="6"/>
  <c r="P7" i="6"/>
  <c r="T7" i="6"/>
  <c r="M7" i="6"/>
  <c r="U7" i="6"/>
  <c r="F7" i="6"/>
  <c r="N7" i="6"/>
  <c r="B12" i="87"/>
  <c r="B7" i="6" s="1"/>
  <c r="A43" i="6"/>
  <c r="A49" i="6"/>
  <c r="A37" i="6"/>
  <c r="A16" i="6"/>
  <c r="A31" i="6"/>
  <c r="A10" i="6"/>
  <c r="A30" i="6"/>
  <c r="A9" i="6"/>
  <c r="A50" i="6"/>
  <c r="A38" i="6"/>
  <c r="A17" i="6"/>
  <c r="A44" i="6"/>
  <c r="D40" i="41" a="1"/>
  <c r="D40" i="41" s="1"/>
  <c r="Z41" i="35" a="1"/>
  <c r="Z41" i="35" s="1"/>
  <c r="Z7" i="3" a="1"/>
  <c r="Z7" i="3" s="1"/>
  <c r="B8" i="23" a="1"/>
  <c r="B8" i="23" s="1"/>
  <c r="D68" i="15"/>
  <c r="A15" i="6"/>
  <c r="A27" i="87"/>
  <c r="A22" i="6" s="1"/>
  <c r="E64" i="15"/>
  <c r="D70" i="15"/>
  <c r="H27" i="8"/>
  <c r="I27" i="8"/>
  <c r="J27" i="8"/>
  <c r="K27" i="8"/>
  <c r="L27" i="8"/>
  <c r="M27" i="8"/>
  <c r="N27" i="8"/>
  <c r="O27" i="8"/>
  <c r="P27" i="8"/>
  <c r="Q27" i="8"/>
  <c r="R27" i="8"/>
  <c r="S27" i="8"/>
  <c r="T27" i="8"/>
  <c r="U27" i="8"/>
  <c r="V27" i="8"/>
  <c r="W27" i="8"/>
  <c r="X27" i="8"/>
  <c r="Y27" i="8"/>
  <c r="Z27" i="8"/>
  <c r="AA27" i="8"/>
  <c r="H14" i="8"/>
  <c r="I14" i="8"/>
  <c r="J14" i="8"/>
  <c r="K14" i="8"/>
  <c r="L14" i="8"/>
  <c r="M14" i="8"/>
  <c r="N14" i="8"/>
  <c r="O14" i="8"/>
  <c r="P14" i="8"/>
  <c r="Q14" i="8"/>
  <c r="R14" i="8"/>
  <c r="S14" i="8"/>
  <c r="T14" i="8"/>
  <c r="U14" i="8"/>
  <c r="V14" i="8"/>
  <c r="W14" i="8"/>
  <c r="X14" i="8"/>
  <c r="Y14" i="8"/>
  <c r="Z14" i="8"/>
  <c r="AA14" i="8"/>
  <c r="AA38" i="8"/>
  <c r="AA32" i="8"/>
  <c r="S38" i="8"/>
  <c r="S32" i="8"/>
  <c r="K38" i="8"/>
  <c r="K32" i="8"/>
  <c r="Z32" i="8"/>
  <c r="Z38" i="8"/>
  <c r="V32" i="8"/>
  <c r="V38" i="8"/>
  <c r="R38" i="8"/>
  <c r="R32" i="8"/>
  <c r="N38" i="8"/>
  <c r="N32" i="8"/>
  <c r="J38" i="8"/>
  <c r="J32" i="8"/>
  <c r="W38" i="8"/>
  <c r="W32" i="8"/>
  <c r="O38" i="8"/>
  <c r="O32" i="8"/>
  <c r="Y38" i="8"/>
  <c r="Y32" i="8"/>
  <c r="U38" i="8"/>
  <c r="U32" i="8"/>
  <c r="Q38" i="8"/>
  <c r="Q32" i="8"/>
  <c r="M38" i="8"/>
  <c r="M32" i="8"/>
  <c r="I38" i="8"/>
  <c r="I32" i="8"/>
  <c r="X38" i="8"/>
  <c r="X32" i="8"/>
  <c r="T38" i="8"/>
  <c r="T32" i="8"/>
  <c r="P38" i="8"/>
  <c r="P32" i="8"/>
  <c r="L38" i="8"/>
  <c r="L32" i="8"/>
  <c r="H38" i="8"/>
  <c r="H32" i="8"/>
  <c r="E27" i="41"/>
  <c r="E19" i="41"/>
  <c r="E24" i="41"/>
  <c r="E28" i="41"/>
  <c r="E29" i="41"/>
  <c r="E25" i="41"/>
  <c r="E21" i="41"/>
  <c r="E33" i="41"/>
  <c r="E32" i="41"/>
  <c r="E30" i="41"/>
  <c r="E20" i="41"/>
  <c r="E26" i="41"/>
  <c r="E31" i="41"/>
  <c r="E23" i="41"/>
  <c r="B19" i="1"/>
  <c r="J57" i="8"/>
  <c r="O34" i="8" s="1"/>
  <c r="J59" i="8"/>
  <c r="O40" i="8" s="1"/>
  <c r="F59" i="8"/>
  <c r="N40" i="8" s="1"/>
  <c r="B59" i="8"/>
  <c r="M40" i="8" s="1"/>
  <c r="B57" i="8"/>
  <c r="M34" i="8" s="1"/>
  <c r="F57" i="8"/>
  <c r="N34" i="8" s="1"/>
  <c r="J55" i="8"/>
  <c r="O29" i="8" s="1"/>
  <c r="F55" i="8"/>
  <c r="N29" i="8" s="1"/>
  <c r="B55" i="8"/>
  <c r="M29" i="8" s="1"/>
  <c r="L19" i="8"/>
  <c r="L18" i="8"/>
  <c r="L17" i="8"/>
  <c r="L16" i="8"/>
  <c r="L15" i="8"/>
  <c r="A9" i="5" a="1"/>
  <c r="A9" i="5" s="1"/>
  <c r="B20" i="1"/>
  <c r="A20" i="1"/>
  <c r="A19" i="1"/>
  <c r="M39" i="8"/>
  <c r="M41" i="8"/>
  <c r="O28" i="8"/>
  <c r="O30" i="8"/>
  <c r="N39" i="8"/>
  <c r="N41" i="8"/>
  <c r="N28" i="8"/>
  <c r="N30" i="8"/>
  <c r="N35" i="8"/>
  <c r="N33" i="8"/>
  <c r="O39" i="8"/>
  <c r="O41" i="8"/>
  <c r="M28" i="8"/>
  <c r="M30" i="8"/>
  <c r="M33" i="8"/>
  <c r="M35" i="8"/>
  <c r="O33" i="8"/>
  <c r="O35" i="8"/>
  <c r="D7" i="41" a="1"/>
  <c r="C45" i="8"/>
  <c r="C46" i="8" s="1"/>
  <c r="C43" i="8"/>
  <c r="C44" i="8" s="1"/>
  <c r="C47" i="8"/>
  <c r="C48" i="8" s="1"/>
  <c r="P34" i="8"/>
  <c r="P33" i="8" s="1"/>
  <c r="P29" i="8"/>
  <c r="Q29" i="8" s="1"/>
  <c r="P40" i="8"/>
  <c r="Q40" i="8" s="1"/>
  <c r="Q34" i="8"/>
  <c r="P35" i="8"/>
  <c r="Q39" i="8"/>
  <c r="Q41" i="8"/>
  <c r="P41" i="8"/>
  <c r="P39" i="8"/>
  <c r="Q30" i="8"/>
  <c r="Q28" i="8"/>
  <c r="Q35" i="8"/>
  <c r="Q33" i="8"/>
  <c r="P30" i="8"/>
  <c r="P28" i="8"/>
  <c r="R34" i="8"/>
  <c r="R40" i="8"/>
  <c r="R29" i="8"/>
  <c r="D77" i="15" a="1"/>
  <c r="D77" i="15" s="1"/>
  <c r="D15" i="35" a="1"/>
  <c r="D15" i="35" s="1"/>
  <c r="D17" i="41" a="1"/>
  <c r="D17" i="41" s="1"/>
  <c r="Z8" i="5" a="1"/>
  <c r="Z8" i="5" s="1"/>
  <c r="D7" i="3" a="1"/>
  <c r="D7" i="3" s="1"/>
  <c r="D42" i="35" a="1"/>
  <c r="D42" i="35" s="1"/>
  <c r="D8" i="5" a="1"/>
  <c r="D8" i="5" s="1"/>
  <c r="Z42" i="35" a="1"/>
  <c r="Z42" i="35" s="1"/>
  <c r="D168" i="15" a="1"/>
  <c r="D168" i="15" s="1"/>
  <c r="D101" i="15" a="1"/>
  <c r="D101" i="15" s="1"/>
  <c r="Z15" i="35" a="1"/>
  <c r="Z15" i="35" s="1"/>
  <c r="R35" i="8"/>
  <c r="R33" i="8"/>
  <c r="R28" i="8"/>
  <c r="R30" i="8"/>
  <c r="R39" i="8"/>
  <c r="R41" i="8"/>
  <c r="S34" i="8"/>
  <c r="S40" i="8"/>
  <c r="S29" i="8"/>
  <c r="S30" i="8"/>
  <c r="S28" i="8"/>
  <c r="S35" i="8"/>
  <c r="S33" i="8"/>
  <c r="S41" i="8"/>
  <c r="S39" i="8"/>
  <c r="T34" i="8"/>
  <c r="T40" i="8"/>
  <c r="T29" i="8"/>
  <c r="T41" i="8"/>
  <c r="T39" i="8"/>
  <c r="T33" i="8"/>
  <c r="T35" i="8"/>
  <c r="T30" i="8"/>
  <c r="T28" i="8"/>
  <c r="U34" i="8"/>
  <c r="U40" i="8"/>
  <c r="U29" i="8"/>
  <c r="U33" i="8"/>
  <c r="U35" i="8"/>
  <c r="U41" i="8"/>
  <c r="U39" i="8"/>
  <c r="U30" i="8"/>
  <c r="U28" i="8"/>
  <c r="V34" i="8"/>
  <c r="V40" i="8"/>
  <c r="V29" i="8"/>
  <c r="V39" i="8"/>
  <c r="V41" i="8"/>
  <c r="V28" i="8"/>
  <c r="V30" i="8"/>
  <c r="V35" i="8"/>
  <c r="V33" i="8"/>
  <c r="W40" i="8"/>
  <c r="W34" i="8"/>
  <c r="W29" i="8"/>
  <c r="W39" i="8"/>
  <c r="W41" i="8"/>
  <c r="W28" i="8"/>
  <c r="W30" i="8"/>
  <c r="W33" i="8"/>
  <c r="W35" i="8"/>
  <c r="X40" i="8"/>
  <c r="X34" i="8"/>
  <c r="X29" i="8"/>
  <c r="X41" i="8"/>
  <c r="X39" i="8"/>
  <c r="X30" i="8"/>
  <c r="X28" i="8"/>
  <c r="X33" i="8"/>
  <c r="X35" i="8"/>
  <c r="Y34" i="8"/>
  <c r="Y40" i="8"/>
  <c r="Y29" i="8"/>
  <c r="Y35" i="8"/>
  <c r="Y33" i="8"/>
  <c r="Y41" i="8"/>
  <c r="Y39" i="8"/>
  <c r="Y30" i="8"/>
  <c r="Y28" i="8"/>
  <c r="Z40" i="8"/>
  <c r="Z34" i="8"/>
  <c r="Z29" i="8"/>
  <c r="Z35" i="8"/>
  <c r="Z33" i="8"/>
  <c r="Z39" i="8"/>
  <c r="Z41" i="8"/>
  <c r="Z28" i="8"/>
  <c r="Z30" i="8"/>
  <c r="AA34" i="8"/>
  <c r="AA40" i="8"/>
  <c r="AA29" i="8"/>
  <c r="AA39" i="8"/>
  <c r="AA41" i="8"/>
  <c r="AA30" i="8"/>
  <c r="AA28" i="8"/>
  <c r="AA35" i="8"/>
  <c r="AA33" i="8"/>
  <c r="E8" i="41" l="1"/>
  <c r="F8" i="41" s="1"/>
  <c r="G8" i="41" s="1"/>
  <c r="H8" i="41" s="1"/>
  <c r="I8" i="41" s="1"/>
  <c r="J8" i="41" s="1"/>
  <c r="K8" i="41" s="1"/>
  <c r="L8" i="41" s="1"/>
  <c r="M8" i="41" s="1"/>
  <c r="N8" i="41" s="1"/>
  <c r="O8" i="41" s="1"/>
  <c r="P8" i="41" s="1"/>
  <c r="Q8" i="41" s="1"/>
  <c r="R8" i="41" s="1"/>
  <c r="S8" i="41" s="1"/>
  <c r="T8" i="41" s="1"/>
  <c r="U8" i="41" s="1"/>
  <c r="V8" i="41" s="1"/>
  <c r="W8" i="41" s="1"/>
  <c r="E10" i="41"/>
  <c r="M10" i="41"/>
  <c r="U10" i="41"/>
  <c r="R10" i="41"/>
  <c r="L10" i="41"/>
  <c r="F10" i="41"/>
  <c r="N10" i="41"/>
  <c r="V10" i="41"/>
  <c r="G10" i="41"/>
  <c r="O10" i="41"/>
  <c r="W10" i="41"/>
  <c r="P10" i="41"/>
  <c r="S10" i="41"/>
  <c r="H10" i="41"/>
  <c r="T10" i="41"/>
  <c r="I10" i="41"/>
  <c r="Q10" i="41"/>
  <c r="J10" i="41"/>
  <c r="K10" i="41"/>
  <c r="G23" i="93"/>
  <c r="H23" i="93" s="1"/>
  <c r="I23" i="93" s="1"/>
  <c r="J23" i="93" s="1"/>
  <c r="K23" i="93" s="1"/>
  <c r="L23" i="93" s="1"/>
  <c r="M23" i="93" s="1"/>
  <c r="N23" i="93" s="1"/>
  <c r="O23" i="93" s="1"/>
  <c r="P23" i="93" s="1"/>
  <c r="Q23" i="93" s="1"/>
  <c r="R23" i="93" s="1"/>
  <c r="S23" i="93" s="1"/>
  <c r="T23" i="93" s="1"/>
  <c r="U23" i="93" s="1"/>
  <c r="V23" i="93" s="1"/>
  <c r="W23" i="93" s="1"/>
  <c r="D7" i="41"/>
  <c r="D10" i="41" s="1"/>
  <c r="D21" i="93"/>
  <c r="F5" i="41"/>
  <c r="E18" i="41"/>
  <c r="E35" i="41" s="1"/>
  <c r="A129" i="15" a="1"/>
  <c r="A129" i="15" s="1"/>
  <c r="D36" i="87"/>
  <c r="D31" i="6" s="1"/>
  <c r="D15" i="87"/>
  <c r="D10" i="6" s="1"/>
  <c r="C22" i="87"/>
  <c r="C17" i="6" s="1"/>
  <c r="B35" i="87"/>
  <c r="B30" i="6" s="1"/>
  <c r="D67" i="15" s="1"/>
  <c r="B48" i="87"/>
  <c r="B42" i="6" s="1"/>
  <c r="B34" i="87"/>
  <c r="B29" i="6" s="1"/>
  <c r="G48" i="87"/>
  <c r="F42" i="6"/>
  <c r="E42" i="6"/>
  <c r="E35" i="87"/>
  <c r="E30" i="6" s="1"/>
  <c r="G67" i="15" s="1"/>
  <c r="E21" i="87"/>
  <c r="E28" i="87" s="1"/>
  <c r="E23" i="6" s="1"/>
  <c r="G66" i="15" s="1"/>
  <c r="D27" i="87"/>
  <c r="D22" i="6" s="1"/>
  <c r="D41" i="87"/>
  <c r="D36" i="6" s="1"/>
  <c r="D42" i="87"/>
  <c r="D37" i="6" s="1"/>
  <c r="F68" i="15" s="1"/>
  <c r="D34" i="87"/>
  <c r="D29" i="6" s="1"/>
  <c r="C48" i="87"/>
  <c r="C42" i="6" s="1"/>
  <c r="C49" i="87"/>
  <c r="C43" i="6" s="1"/>
  <c r="E69" i="15" s="1"/>
  <c r="B22" i="87"/>
  <c r="B17" i="6" s="1"/>
  <c r="E8" i="6"/>
  <c r="F13" i="87"/>
  <c r="F49" i="87"/>
  <c r="E15" i="87"/>
  <c r="E14" i="87"/>
  <c r="E20" i="87"/>
  <c r="E22" i="87"/>
  <c r="D55" i="87"/>
  <c r="D48" i="6" s="1"/>
  <c r="D49" i="87"/>
  <c r="D43" i="6" s="1"/>
  <c r="F69" i="15" s="1"/>
  <c r="D16" i="6"/>
  <c r="F65" i="15" s="1"/>
  <c r="C34" i="87"/>
  <c r="C29" i="6" s="1"/>
  <c r="B14" i="87"/>
  <c r="B9" i="6" s="1"/>
  <c r="D64" i="15" s="1"/>
  <c r="F36" i="87"/>
  <c r="E31" i="6"/>
  <c r="G43" i="87"/>
  <c r="F38" i="6"/>
  <c r="G50" i="6"/>
  <c r="H57" i="87"/>
  <c r="F56" i="87"/>
  <c r="E49" i="6"/>
  <c r="G70" i="15" s="1"/>
  <c r="D29" i="87"/>
  <c r="D24" i="6" s="1"/>
  <c r="D17" i="6"/>
  <c r="G48" i="6"/>
  <c r="H55" i="87"/>
  <c r="F42" i="87"/>
  <c r="E37" i="6"/>
  <c r="G68" i="15" s="1"/>
  <c r="F50" i="87"/>
  <c r="F35" i="87"/>
  <c r="B20" i="87"/>
  <c r="D56" i="87"/>
  <c r="D49" i="6" s="1"/>
  <c r="F70" i="15" s="1"/>
  <c r="E34" i="87"/>
  <c r="D14" i="87"/>
  <c r="D9" i="6" s="1"/>
  <c r="F64" i="15" s="1"/>
  <c r="C29" i="87"/>
  <c r="C24" i="6" s="1"/>
  <c r="C20" i="87"/>
  <c r="E41" i="87"/>
  <c r="AB70" i="35"/>
  <c r="AE78" i="35"/>
  <c r="AC72" i="35"/>
  <c r="AF65" i="35"/>
  <c r="AA77" i="35"/>
  <c r="AF76" i="35"/>
  <c r="AD70" i="35"/>
  <c r="B21" i="87"/>
  <c r="C21" i="87"/>
  <c r="AB76" i="35"/>
  <c r="AE69" i="35"/>
  <c r="E16" i="6"/>
  <c r="G65" i="15" s="1"/>
  <c r="D48" i="87"/>
  <c r="D42" i="6" s="1"/>
  <c r="C41" i="87"/>
  <c r="C36" i="6" s="1"/>
  <c r="F21" i="87"/>
  <c r="AC73" i="35"/>
  <c r="AF66" i="35"/>
  <c r="AD75" i="35"/>
  <c r="AB69" i="35"/>
  <c r="AA70" i="35"/>
  <c r="AB80" i="35"/>
  <c r="AE73" i="35"/>
  <c r="AC67" i="35"/>
  <c r="C55" i="87"/>
  <c r="C48" i="6" s="1"/>
  <c r="B13" i="87"/>
  <c r="B8" i="6" s="1"/>
  <c r="F48" i="6"/>
  <c r="C56" i="87"/>
  <c r="C49" i="6" s="1"/>
  <c r="E70" i="15" s="1"/>
  <c r="C13" i="87"/>
  <c r="C8" i="6" s="1"/>
  <c r="AF70" i="35"/>
  <c r="AD79" i="35"/>
  <c r="AB73" i="35"/>
  <c r="AE66" i="35"/>
  <c r="AA65" i="35"/>
  <c r="AE77" i="35"/>
  <c r="AC71" i="35"/>
  <c r="A156" i="15" a="1"/>
  <c r="A156" i="15" s="1"/>
  <c r="A89" i="15" a="1"/>
  <c r="A89" i="15" s="1"/>
  <c r="A115" i="15" a="1"/>
  <c r="A115" i="15" s="1"/>
  <c r="A78" i="15" a="1"/>
  <c r="A78" i="15" s="1"/>
  <c r="A144" i="15" a="1"/>
  <c r="A144" i="15" s="1"/>
  <c r="A102" i="15" a="1"/>
  <c r="A102" i="15" s="1"/>
  <c r="G5" i="41" l="1"/>
  <c r="F19" i="41"/>
  <c r="F18" i="41"/>
  <c r="F24" i="41"/>
  <c r="F28" i="41"/>
  <c r="F29" i="41"/>
  <c r="F25" i="41"/>
  <c r="F27" i="41"/>
  <c r="F21" i="41"/>
  <c r="F33" i="41"/>
  <c r="F32" i="41"/>
  <c r="F22" i="41"/>
  <c r="F26" i="41"/>
  <c r="F30" i="41"/>
  <c r="F20" i="41"/>
  <c r="F31" i="41"/>
  <c r="F23" i="41"/>
  <c r="B29" i="87"/>
  <c r="B24" i="6" s="1"/>
  <c r="H48" i="87"/>
  <c r="G42" i="6"/>
  <c r="E9" i="6"/>
  <c r="G64" i="15" s="1"/>
  <c r="F14" i="87"/>
  <c r="F15" i="87"/>
  <c r="E10" i="6"/>
  <c r="G49" i="87"/>
  <c r="F43" i="6"/>
  <c r="H69" i="15" s="1"/>
  <c r="E27" i="87"/>
  <c r="E22" i="6" s="1"/>
  <c r="F20" i="87"/>
  <c r="E15" i="6"/>
  <c r="G13" i="87"/>
  <c r="F8" i="6"/>
  <c r="E29" i="87"/>
  <c r="E24" i="6" s="1"/>
  <c r="F22" i="87"/>
  <c r="E17" i="6"/>
  <c r="G35" i="87"/>
  <c r="F30" i="6"/>
  <c r="H67" i="15" s="1"/>
  <c r="I57" i="87"/>
  <c r="H50" i="6"/>
  <c r="B16" i="6"/>
  <c r="D65" i="15" s="1"/>
  <c r="B28" i="87"/>
  <c r="B23" i="6" s="1"/>
  <c r="D66" i="15" s="1"/>
  <c r="F41" i="87"/>
  <c r="E36" i="6"/>
  <c r="G50" i="87"/>
  <c r="F44" i="6"/>
  <c r="H48" i="6"/>
  <c r="I55" i="87"/>
  <c r="G38" i="6"/>
  <c r="H43" i="87"/>
  <c r="C15" i="6"/>
  <c r="C27" i="87"/>
  <c r="C22" i="6" s="1"/>
  <c r="C16" i="6"/>
  <c r="E65" i="15" s="1"/>
  <c r="C28" i="87"/>
  <c r="C23" i="6" s="1"/>
  <c r="E66" i="15" s="1"/>
  <c r="G42" i="87"/>
  <c r="F37" i="6"/>
  <c r="H68" i="15" s="1"/>
  <c r="G36" i="87"/>
  <c r="F31" i="6"/>
  <c r="F34" i="87"/>
  <c r="E29" i="6"/>
  <c r="F28" i="87"/>
  <c r="F23" i="6" s="1"/>
  <c r="H66" i="15" s="1"/>
  <c r="G21" i="87"/>
  <c r="F16" i="6"/>
  <c r="H65" i="15" s="1"/>
  <c r="B15" i="6"/>
  <c r="B27" i="87"/>
  <c r="B22" i="6" s="1"/>
  <c r="G56" i="87"/>
  <c r="F49" i="6"/>
  <c r="H70" i="15" s="1"/>
  <c r="F35" i="41" l="1"/>
  <c r="H5" i="41"/>
  <c r="G31" i="41"/>
  <c r="G23" i="41"/>
  <c r="G19" i="41"/>
  <c r="G24" i="41"/>
  <c r="G28" i="41"/>
  <c r="G29" i="41"/>
  <c r="G25" i="41"/>
  <c r="G27" i="41"/>
  <c r="G21" i="41"/>
  <c r="G33" i="41"/>
  <c r="G32" i="41"/>
  <c r="G22" i="41"/>
  <c r="G26" i="41"/>
  <c r="G18" i="41"/>
  <c r="G30" i="41"/>
  <c r="G20" i="41"/>
  <c r="I48" i="87"/>
  <c r="H42" i="6"/>
  <c r="F27" i="87"/>
  <c r="F22" i="6" s="1"/>
  <c r="G20" i="87"/>
  <c r="F15" i="6"/>
  <c r="F29" i="87"/>
  <c r="F24" i="6" s="1"/>
  <c r="F17" i="6"/>
  <c r="G22" i="87"/>
  <c r="G43" i="6"/>
  <c r="I69" i="15" s="1"/>
  <c r="H49" i="87"/>
  <c r="G15" i="87"/>
  <c r="F10" i="6"/>
  <c r="G8" i="6"/>
  <c r="H13" i="87"/>
  <c r="G14" i="87"/>
  <c r="F9" i="6"/>
  <c r="H64" i="15" s="1"/>
  <c r="G31" i="6"/>
  <c r="H36" i="87"/>
  <c r="F36" i="6"/>
  <c r="G41" i="87"/>
  <c r="G34" i="87"/>
  <c r="F29" i="6"/>
  <c r="H38" i="6"/>
  <c r="I43" i="87"/>
  <c r="G28" i="87"/>
  <c r="G23" i="6" s="1"/>
  <c r="I66" i="15" s="1"/>
  <c r="G16" i="6"/>
  <c r="I65" i="15" s="1"/>
  <c r="H21" i="87"/>
  <c r="G37" i="6"/>
  <c r="I68" i="15" s="1"/>
  <c r="H42" i="87"/>
  <c r="I48" i="6"/>
  <c r="J55" i="87"/>
  <c r="G49" i="6"/>
  <c r="I70" i="15" s="1"/>
  <c r="H56" i="87"/>
  <c r="I50" i="6"/>
  <c r="J57" i="87"/>
  <c r="G44" i="6"/>
  <c r="H50" i="87"/>
  <c r="G30" i="6"/>
  <c r="I67" i="15" s="1"/>
  <c r="H35" i="87"/>
  <c r="G35" i="41" l="1"/>
  <c r="I5" i="41"/>
  <c r="H30" i="41"/>
  <c r="H20" i="41"/>
  <c r="H31" i="41"/>
  <c r="H23" i="41"/>
  <c r="H19" i="41"/>
  <c r="H24" i="41"/>
  <c r="H28" i="41"/>
  <c r="H29" i="41"/>
  <c r="H25" i="41"/>
  <c r="H27" i="41"/>
  <c r="H21" i="41"/>
  <c r="H33" i="41"/>
  <c r="H32" i="41"/>
  <c r="H22" i="41"/>
  <c r="H26" i="41"/>
  <c r="H18" i="41"/>
  <c r="J48" i="87"/>
  <c r="I42" i="6"/>
  <c r="G17" i="6"/>
  <c r="H22" i="87"/>
  <c r="G29" i="87"/>
  <c r="G24" i="6" s="1"/>
  <c r="G9" i="6"/>
  <c r="I64" i="15" s="1"/>
  <c r="H14" i="87"/>
  <c r="I13" i="87"/>
  <c r="H8" i="6"/>
  <c r="H15" i="87"/>
  <c r="G10" i="6"/>
  <c r="I49" i="87"/>
  <c r="H43" i="6"/>
  <c r="J69" i="15" s="1"/>
  <c r="G27" i="87"/>
  <c r="G22" i="6" s="1"/>
  <c r="G15" i="6"/>
  <c r="H20" i="87"/>
  <c r="I50" i="87"/>
  <c r="H44" i="6"/>
  <c r="H37" i="6"/>
  <c r="J68" i="15" s="1"/>
  <c r="I42" i="87"/>
  <c r="G29" i="6"/>
  <c r="H34" i="87"/>
  <c r="I56" i="87"/>
  <c r="H49" i="6"/>
  <c r="J70" i="15" s="1"/>
  <c r="K57" i="87"/>
  <c r="J50" i="6"/>
  <c r="H28" i="87"/>
  <c r="H23" i="6" s="1"/>
  <c r="J66" i="15" s="1"/>
  <c r="H16" i="6"/>
  <c r="J65" i="15" s="1"/>
  <c r="I21" i="87"/>
  <c r="K55" i="87"/>
  <c r="J48" i="6"/>
  <c r="G36" i="6"/>
  <c r="H41" i="87"/>
  <c r="J43" i="87"/>
  <c r="I38" i="6"/>
  <c r="I36" i="87"/>
  <c r="H31" i="6"/>
  <c r="H30" i="6"/>
  <c r="J67" i="15" s="1"/>
  <c r="I35" i="87"/>
  <c r="H35" i="41" l="1"/>
  <c r="J5" i="41"/>
  <c r="I32" i="41"/>
  <c r="I22" i="41"/>
  <c r="I26" i="41"/>
  <c r="I30" i="41"/>
  <c r="I20" i="41"/>
  <c r="I18" i="41"/>
  <c r="I31" i="41"/>
  <c r="I19" i="41"/>
  <c r="I24" i="41"/>
  <c r="I28" i="41"/>
  <c r="I29" i="41"/>
  <c r="I25" i="41"/>
  <c r="I27" i="41"/>
  <c r="I21" i="41"/>
  <c r="I33" i="41"/>
  <c r="I23" i="41"/>
  <c r="K48" i="87"/>
  <c r="J42" i="6"/>
  <c r="J13" i="87"/>
  <c r="I8" i="6"/>
  <c r="H9" i="6"/>
  <c r="J64" i="15" s="1"/>
  <c r="I14" i="87"/>
  <c r="I43" i="6"/>
  <c r="K69" i="15" s="1"/>
  <c r="J49" i="87"/>
  <c r="H10" i="6"/>
  <c r="I15" i="87"/>
  <c r="H17" i="6"/>
  <c r="I22" i="87"/>
  <c r="H29" i="87"/>
  <c r="H24" i="6" s="1"/>
  <c r="H27" i="87"/>
  <c r="H22" i="6" s="1"/>
  <c r="H15" i="6"/>
  <c r="I20" i="87"/>
  <c r="K48" i="6"/>
  <c r="L55" i="87"/>
  <c r="I44" i="6"/>
  <c r="J50" i="87"/>
  <c r="I28" i="87"/>
  <c r="I23" i="6" s="1"/>
  <c r="K66" i="15" s="1"/>
  <c r="I16" i="6"/>
  <c r="K65" i="15" s="1"/>
  <c r="J21" i="87"/>
  <c r="I49" i="6"/>
  <c r="K70" i="15" s="1"/>
  <c r="J56" i="87"/>
  <c r="I30" i="6"/>
  <c r="K67" i="15" s="1"/>
  <c r="J35" i="87"/>
  <c r="I34" i="87"/>
  <c r="H29" i="6"/>
  <c r="I31" i="6"/>
  <c r="J36" i="87"/>
  <c r="H36" i="6"/>
  <c r="I41" i="87"/>
  <c r="I37" i="6"/>
  <c r="K68" i="15" s="1"/>
  <c r="J42" i="87"/>
  <c r="J38" i="6"/>
  <c r="K43" i="87"/>
  <c r="L57" i="87"/>
  <c r="K50" i="6"/>
  <c r="K5" i="41" l="1"/>
  <c r="J27" i="41"/>
  <c r="J21" i="41"/>
  <c r="J33" i="41"/>
  <c r="J32" i="41"/>
  <c r="J22" i="41"/>
  <c r="J26" i="41"/>
  <c r="J31" i="41"/>
  <c r="J23" i="41"/>
  <c r="J18" i="41"/>
  <c r="J20" i="41"/>
  <c r="J19" i="41"/>
  <c r="J24" i="41"/>
  <c r="J28" i="41"/>
  <c r="J29" i="41"/>
  <c r="J25" i="41"/>
  <c r="J30" i="41"/>
  <c r="I35" i="41"/>
  <c r="L48" i="87"/>
  <c r="K42" i="6"/>
  <c r="I27" i="87"/>
  <c r="I22" i="6" s="1"/>
  <c r="J20" i="87"/>
  <c r="I15" i="6"/>
  <c r="I9" i="6"/>
  <c r="K64" i="15" s="1"/>
  <c r="J14" i="87"/>
  <c r="I29" i="87"/>
  <c r="I24" i="6" s="1"/>
  <c r="I17" i="6"/>
  <c r="J22" i="87"/>
  <c r="K13" i="87"/>
  <c r="J8" i="6"/>
  <c r="I10" i="6"/>
  <c r="J15" i="87"/>
  <c r="K49" i="87"/>
  <c r="J43" i="6"/>
  <c r="L69" i="15" s="1"/>
  <c r="L50" i="6"/>
  <c r="M57" i="87"/>
  <c r="L43" i="87"/>
  <c r="K38" i="6"/>
  <c r="J37" i="6"/>
  <c r="L68" i="15" s="1"/>
  <c r="K42" i="87"/>
  <c r="K50" i="87"/>
  <c r="J44" i="6"/>
  <c r="L48" i="6"/>
  <c r="M55" i="87"/>
  <c r="I29" i="6"/>
  <c r="J34" i="87"/>
  <c r="K35" i="87"/>
  <c r="J30" i="6"/>
  <c r="L67" i="15" s="1"/>
  <c r="I36" i="6"/>
  <c r="J41" i="87"/>
  <c r="J49" i="6"/>
  <c r="L70" i="15" s="1"/>
  <c r="K56" i="87"/>
  <c r="J31" i="6"/>
  <c r="K36" i="87"/>
  <c r="J28" i="87"/>
  <c r="J23" i="6" s="1"/>
  <c r="L66" i="15" s="1"/>
  <c r="J16" i="6"/>
  <c r="L65" i="15" s="1"/>
  <c r="K21" i="87"/>
  <c r="J35" i="41" l="1"/>
  <c r="L5" i="41"/>
  <c r="K19" i="41"/>
  <c r="K24" i="41"/>
  <c r="K28" i="41"/>
  <c r="K29" i="41"/>
  <c r="K25" i="41"/>
  <c r="K22" i="41"/>
  <c r="K27" i="41"/>
  <c r="K21" i="41"/>
  <c r="K33" i="41"/>
  <c r="K32" i="41"/>
  <c r="K26" i="41"/>
  <c r="K30" i="41"/>
  <c r="K20" i="41"/>
  <c r="K18" i="41"/>
  <c r="K31" i="41"/>
  <c r="K23" i="41"/>
  <c r="M48" i="87"/>
  <c r="L42" i="6"/>
  <c r="J29" i="87"/>
  <c r="J24" i="6" s="1"/>
  <c r="J17" i="6"/>
  <c r="K22" i="87"/>
  <c r="K43" i="6"/>
  <c r="M69" i="15" s="1"/>
  <c r="L49" i="87"/>
  <c r="K14" i="87"/>
  <c r="J9" i="6"/>
  <c r="L64" i="15" s="1"/>
  <c r="J10" i="6"/>
  <c r="K15" i="87"/>
  <c r="K20" i="87"/>
  <c r="J15" i="6"/>
  <c r="J27" i="87"/>
  <c r="J22" i="6" s="1"/>
  <c r="K8" i="6"/>
  <c r="L13" i="87"/>
  <c r="M48" i="6"/>
  <c r="N55" i="87"/>
  <c r="K28" i="87"/>
  <c r="K23" i="6" s="1"/>
  <c r="M66" i="15" s="1"/>
  <c r="K16" i="6"/>
  <c r="M65" i="15" s="1"/>
  <c r="L21" i="87"/>
  <c r="M43" i="87"/>
  <c r="L38" i="6"/>
  <c r="L56" i="87"/>
  <c r="K49" i="6"/>
  <c r="M70" i="15" s="1"/>
  <c r="K44" i="6"/>
  <c r="L50" i="87"/>
  <c r="K30" i="6"/>
  <c r="M67" i="15" s="1"/>
  <c r="L35" i="87"/>
  <c r="K31" i="6"/>
  <c r="L36" i="87"/>
  <c r="J36" i="6"/>
  <c r="K41" i="87"/>
  <c r="J29" i="6"/>
  <c r="K34" i="87"/>
  <c r="K37" i="6"/>
  <c r="M68" i="15" s="1"/>
  <c r="L42" i="87"/>
  <c r="M50" i="6"/>
  <c r="N57" i="87"/>
  <c r="M5" i="41" l="1"/>
  <c r="L19" i="41"/>
  <c r="L24" i="41"/>
  <c r="L28" i="41"/>
  <c r="L29" i="41"/>
  <c r="L25" i="41"/>
  <c r="L27" i="41"/>
  <c r="L32" i="41"/>
  <c r="L22" i="41"/>
  <c r="L26" i="41"/>
  <c r="L30" i="41"/>
  <c r="L20" i="41"/>
  <c r="L31" i="41"/>
  <c r="L23" i="41"/>
  <c r="L33" i="41"/>
  <c r="L18" i="41"/>
  <c r="L21" i="41"/>
  <c r="K35" i="41"/>
  <c r="M42" i="6"/>
  <c r="N48" i="87"/>
  <c r="M13" i="87"/>
  <c r="L8" i="6"/>
  <c r="K9" i="6"/>
  <c r="M64" i="15" s="1"/>
  <c r="L14" i="87"/>
  <c r="L43" i="6"/>
  <c r="N69" i="15" s="1"/>
  <c r="M49" i="87"/>
  <c r="L20" i="87"/>
  <c r="K15" i="6"/>
  <c r="K27" i="87"/>
  <c r="K22" i="6" s="1"/>
  <c r="L22" i="87"/>
  <c r="K29" i="87"/>
  <c r="K24" i="6" s="1"/>
  <c r="K17" i="6"/>
  <c r="L15" i="87"/>
  <c r="K10" i="6"/>
  <c r="N50" i="6"/>
  <c r="O57" i="87"/>
  <c r="M42" i="87"/>
  <c r="L37" i="6"/>
  <c r="N68" i="15" s="1"/>
  <c r="L28" i="87"/>
  <c r="L23" i="6" s="1"/>
  <c r="N66" i="15" s="1"/>
  <c r="L16" i="6"/>
  <c r="N65" i="15" s="1"/>
  <c r="M21" i="87"/>
  <c r="L41" i="87"/>
  <c r="K36" i="6"/>
  <c r="L31" i="6"/>
  <c r="M36" i="87"/>
  <c r="N48" i="6"/>
  <c r="O55" i="87"/>
  <c r="K29" i="6"/>
  <c r="L34" i="87"/>
  <c r="M38" i="6"/>
  <c r="N43" i="87"/>
  <c r="L49" i="6"/>
  <c r="N70" i="15" s="1"/>
  <c r="M56" i="87"/>
  <c r="L30" i="6"/>
  <c r="N67" i="15" s="1"/>
  <c r="M35" i="87"/>
  <c r="L44" i="6"/>
  <c r="M50" i="87"/>
  <c r="L35" i="41" l="1"/>
  <c r="N5" i="41"/>
  <c r="M23" i="41"/>
  <c r="M21" i="41"/>
  <c r="M26" i="41"/>
  <c r="M27" i="41"/>
  <c r="M19" i="41"/>
  <c r="M25" i="41"/>
  <c r="M28" i="41"/>
  <c r="M24" i="41"/>
  <c r="M33" i="41"/>
  <c r="M32" i="41"/>
  <c r="M18" i="41"/>
  <c r="M29" i="41"/>
  <c r="M22" i="41"/>
  <c r="M31" i="41"/>
  <c r="M30" i="41"/>
  <c r="M20" i="41"/>
  <c r="O48" i="87"/>
  <c r="N42" i="6"/>
  <c r="L10" i="6"/>
  <c r="M15" i="87"/>
  <c r="L27" i="87"/>
  <c r="L22" i="6" s="1"/>
  <c r="L15" i="6"/>
  <c r="M20" i="87"/>
  <c r="M43" i="6"/>
  <c r="O69" i="15" s="1"/>
  <c r="N49" i="87"/>
  <c r="M22" i="87"/>
  <c r="L29" i="87"/>
  <c r="L24" i="6" s="1"/>
  <c r="L17" i="6"/>
  <c r="L9" i="6"/>
  <c r="N64" i="15" s="1"/>
  <c r="M14" i="87"/>
  <c r="M8" i="6"/>
  <c r="N13" i="87"/>
  <c r="O48" i="6"/>
  <c r="P55" i="87"/>
  <c r="M41" i="87"/>
  <c r="L36" i="6"/>
  <c r="M49" i="6"/>
  <c r="O70" i="15" s="1"/>
  <c r="N56" i="87"/>
  <c r="M28" i="87"/>
  <c r="M23" i="6" s="1"/>
  <c r="O66" i="15" s="1"/>
  <c r="M16" i="6"/>
  <c r="O65" i="15" s="1"/>
  <c r="N21" i="87"/>
  <c r="M44" i="6"/>
  <c r="N50" i="87"/>
  <c r="N38" i="6"/>
  <c r="O43" i="87"/>
  <c r="M31" i="6"/>
  <c r="N36" i="87"/>
  <c r="L29" i="6"/>
  <c r="M34" i="87"/>
  <c r="M37" i="6"/>
  <c r="O68" i="15" s="1"/>
  <c r="N42" i="87"/>
  <c r="O50" i="6"/>
  <c r="P57" i="87"/>
  <c r="M30" i="6"/>
  <c r="O67" i="15" s="1"/>
  <c r="N35" i="87"/>
  <c r="M35" i="41" l="1"/>
  <c r="O5" i="41"/>
  <c r="N22" i="41"/>
  <c r="N23" i="41"/>
  <c r="N24" i="41"/>
  <c r="N25" i="41"/>
  <c r="N27" i="41"/>
  <c r="N28" i="41"/>
  <c r="N29" i="41"/>
  <c r="N30" i="41"/>
  <c r="N31" i="41"/>
  <c r="N32" i="41"/>
  <c r="N33" i="41"/>
  <c r="N18" i="41"/>
  <c r="N19" i="41"/>
  <c r="N26" i="41"/>
  <c r="N20" i="41"/>
  <c r="N21" i="41"/>
  <c r="O42" i="6"/>
  <c r="P48" i="87"/>
  <c r="N8" i="6"/>
  <c r="O13" i="87"/>
  <c r="M29" i="87"/>
  <c r="M24" i="6" s="1"/>
  <c r="M17" i="6"/>
  <c r="N22" i="87"/>
  <c r="O49" i="87"/>
  <c r="N43" i="6"/>
  <c r="P69" i="15" s="1"/>
  <c r="M27" i="87"/>
  <c r="M22" i="6" s="1"/>
  <c r="M15" i="6"/>
  <c r="N20" i="87"/>
  <c r="N14" i="87"/>
  <c r="M9" i="6"/>
  <c r="O64" i="15" s="1"/>
  <c r="M10" i="6"/>
  <c r="N15" i="87"/>
  <c r="N37" i="6"/>
  <c r="P68" i="15" s="1"/>
  <c r="O42" i="87"/>
  <c r="O38" i="6"/>
  <c r="P43" i="87"/>
  <c r="N28" i="87"/>
  <c r="N23" i="6" s="1"/>
  <c r="P66" i="15" s="1"/>
  <c r="N16" i="6"/>
  <c r="P65" i="15" s="1"/>
  <c r="O21" i="87"/>
  <c r="M36" i="6"/>
  <c r="N41" i="87"/>
  <c r="P48" i="6"/>
  <c r="Q55" i="87"/>
  <c r="N49" i="6"/>
  <c r="P70" i="15" s="1"/>
  <c r="O56" i="87"/>
  <c r="N30" i="6"/>
  <c r="P67" i="15" s="1"/>
  <c r="O35" i="87"/>
  <c r="M29" i="6"/>
  <c r="N34" i="87"/>
  <c r="P50" i="6"/>
  <c r="Q57" i="87"/>
  <c r="N31" i="6"/>
  <c r="O36" i="87"/>
  <c r="N44" i="6"/>
  <c r="O50" i="87"/>
  <c r="N35" i="41" l="1"/>
  <c r="P5" i="41"/>
  <c r="O20" i="41"/>
  <c r="O23" i="41"/>
  <c r="O22" i="41"/>
  <c r="O27" i="41"/>
  <c r="O26" i="41"/>
  <c r="O31" i="41"/>
  <c r="O28" i="41"/>
  <c r="O25" i="41"/>
  <c r="O30" i="41"/>
  <c r="O33" i="41"/>
  <c r="O24" i="41"/>
  <c r="O19" i="41"/>
  <c r="O32" i="41"/>
  <c r="O18" i="41"/>
  <c r="O21" i="41"/>
  <c r="O29" i="41"/>
  <c r="P42" i="6"/>
  <c r="Q48" i="87"/>
  <c r="N10" i="6"/>
  <c r="O15" i="87"/>
  <c r="O43" i="6"/>
  <c r="Q69" i="15" s="1"/>
  <c r="P49" i="87"/>
  <c r="N9" i="6"/>
  <c r="P64" i="15" s="1"/>
  <c r="O14" i="87"/>
  <c r="N29" i="87"/>
  <c r="N24" i="6" s="1"/>
  <c r="O22" i="87"/>
  <c r="N17" i="6"/>
  <c r="N15" i="6"/>
  <c r="O20" i="87"/>
  <c r="N27" i="87"/>
  <c r="N22" i="6" s="1"/>
  <c r="O8" i="6"/>
  <c r="P13" i="87"/>
  <c r="O49" i="6"/>
  <c r="Q70" i="15" s="1"/>
  <c r="P56" i="87"/>
  <c r="P38" i="6"/>
  <c r="Q43" i="87"/>
  <c r="O44" i="6"/>
  <c r="P50" i="87"/>
  <c r="O37" i="6"/>
  <c r="Q68" i="15" s="1"/>
  <c r="P42" i="87"/>
  <c r="P36" i="87"/>
  <c r="O31" i="6"/>
  <c r="Q48" i="6"/>
  <c r="R55" i="87"/>
  <c r="N36" i="6"/>
  <c r="O41" i="87"/>
  <c r="N29" i="6"/>
  <c r="O34" i="87"/>
  <c r="P35" i="87"/>
  <c r="O30" i="6"/>
  <c r="Q67" i="15" s="1"/>
  <c r="Q50" i="6"/>
  <c r="R57" i="87"/>
  <c r="O28" i="87"/>
  <c r="O23" i="6" s="1"/>
  <c r="Q66" i="15" s="1"/>
  <c r="P21" i="87"/>
  <c r="O16" i="6"/>
  <c r="Q65" i="15" s="1"/>
  <c r="O35" i="41" l="1"/>
  <c r="Q5" i="41"/>
  <c r="P29" i="41"/>
  <c r="P28" i="41"/>
  <c r="P31" i="41"/>
  <c r="P30" i="41"/>
  <c r="P33" i="41"/>
  <c r="P19" i="41"/>
  <c r="P18" i="41"/>
  <c r="P20" i="41"/>
  <c r="P21" i="41"/>
  <c r="P23" i="41"/>
  <c r="P22" i="41"/>
  <c r="P25" i="41"/>
  <c r="P24" i="41"/>
  <c r="P27" i="41"/>
  <c r="P26" i="41"/>
  <c r="P32" i="41"/>
  <c r="Q42" i="6"/>
  <c r="R48" i="87"/>
  <c r="P43" i="6"/>
  <c r="R69" i="15" s="1"/>
  <c r="Q49" i="87"/>
  <c r="P8" i="6"/>
  <c r="Q13" i="87"/>
  <c r="O15" i="6"/>
  <c r="O27" i="87"/>
  <c r="O22" i="6" s="1"/>
  <c r="P20" i="87"/>
  <c r="P14" i="87"/>
  <c r="O9" i="6"/>
  <c r="Q64" i="15" s="1"/>
  <c r="O29" i="87"/>
  <c r="O24" i="6" s="1"/>
  <c r="O17" i="6"/>
  <c r="P22" i="87"/>
  <c r="O10" i="6"/>
  <c r="P15" i="87"/>
  <c r="P44" i="6"/>
  <c r="Q50" i="87"/>
  <c r="P31" i="6"/>
  <c r="Q36" i="87"/>
  <c r="Q38" i="6"/>
  <c r="R43" i="87"/>
  <c r="P28" i="87"/>
  <c r="P23" i="6" s="1"/>
  <c r="R66" i="15" s="1"/>
  <c r="P16" i="6"/>
  <c r="R65" i="15" s="1"/>
  <c r="Q21" i="87"/>
  <c r="P34" i="87"/>
  <c r="O29" i="6"/>
  <c r="Q42" i="87"/>
  <c r="P37" i="6"/>
  <c r="R68" i="15" s="1"/>
  <c r="R50" i="6"/>
  <c r="S57" i="87"/>
  <c r="O36" i="6"/>
  <c r="P41" i="87"/>
  <c r="P30" i="6"/>
  <c r="R67" i="15" s="1"/>
  <c r="Q35" i="87"/>
  <c r="R48" i="6"/>
  <c r="S55" i="87"/>
  <c r="P49" i="6"/>
  <c r="R70" i="15" s="1"/>
  <c r="Q56" i="87"/>
  <c r="R5" i="41" l="1"/>
  <c r="Q19" i="41"/>
  <c r="Q18" i="41"/>
  <c r="Q21" i="41"/>
  <c r="Q20" i="41"/>
  <c r="Q25" i="41"/>
  <c r="Q26" i="41"/>
  <c r="Q27" i="41"/>
  <c r="Q28" i="41"/>
  <c r="Q29" i="41"/>
  <c r="Q30" i="41"/>
  <c r="Q23" i="41"/>
  <c r="Q31" i="41"/>
  <c r="Q24" i="41"/>
  <c r="Q22" i="41"/>
  <c r="Q33" i="41"/>
  <c r="Q32" i="41"/>
  <c r="P35" i="41"/>
  <c r="S48" i="87"/>
  <c r="R42" i="6"/>
  <c r="P9" i="6"/>
  <c r="R64" i="15" s="1"/>
  <c r="Q14" i="87"/>
  <c r="Q20" i="87"/>
  <c r="P15" i="6"/>
  <c r="P27" i="87"/>
  <c r="P22" i="6" s="1"/>
  <c r="Q8" i="6"/>
  <c r="R13" i="87"/>
  <c r="P29" i="87"/>
  <c r="P24" i="6" s="1"/>
  <c r="P17" i="6"/>
  <c r="Q22" i="87"/>
  <c r="P10" i="6"/>
  <c r="Q15" i="87"/>
  <c r="Q43" i="6"/>
  <c r="S69" i="15" s="1"/>
  <c r="R49" i="87"/>
  <c r="T57" i="87"/>
  <c r="S50" i="6"/>
  <c r="Q37" i="6"/>
  <c r="S68" i="15" s="1"/>
  <c r="R42" i="87"/>
  <c r="Q31" i="6"/>
  <c r="R36" i="87"/>
  <c r="P29" i="6"/>
  <c r="Q34" i="87"/>
  <c r="Q44" i="6"/>
  <c r="R50" i="87"/>
  <c r="Q49" i="6"/>
  <c r="S70" i="15" s="1"/>
  <c r="R56" i="87"/>
  <c r="Q28" i="87"/>
  <c r="Q23" i="6" s="1"/>
  <c r="S66" i="15" s="1"/>
  <c r="Q16" i="6"/>
  <c r="S65" i="15" s="1"/>
  <c r="R21" i="87"/>
  <c r="R38" i="6"/>
  <c r="S43" i="87"/>
  <c r="T55" i="87"/>
  <c r="S48" i="6"/>
  <c r="P36" i="6"/>
  <c r="Q41" i="87"/>
  <c r="Q30" i="6"/>
  <c r="S67" i="15" s="1"/>
  <c r="R35" i="87"/>
  <c r="Q35" i="41" l="1"/>
  <c r="S5" i="41"/>
  <c r="R20" i="41"/>
  <c r="R21" i="41"/>
  <c r="R24" i="41"/>
  <c r="R22" i="41"/>
  <c r="R23" i="41"/>
  <c r="R26" i="41"/>
  <c r="R27" i="41"/>
  <c r="R28" i="41"/>
  <c r="R29" i="41"/>
  <c r="R30" i="41"/>
  <c r="R31" i="41"/>
  <c r="R32" i="41"/>
  <c r="R33" i="41"/>
  <c r="R18" i="41"/>
  <c r="R19" i="41"/>
  <c r="R25" i="41"/>
  <c r="T48" i="87"/>
  <c r="S42" i="6"/>
  <c r="R8" i="6"/>
  <c r="S13" i="87"/>
  <c r="R43" i="6"/>
  <c r="T69" i="15" s="1"/>
  <c r="S49" i="87"/>
  <c r="R15" i="87"/>
  <c r="Q10" i="6"/>
  <c r="Q27" i="87"/>
  <c r="Q22" i="6" s="1"/>
  <c r="Q15" i="6"/>
  <c r="R20" i="87"/>
  <c r="Q29" i="87"/>
  <c r="Q24" i="6" s="1"/>
  <c r="Q17" i="6"/>
  <c r="R22" i="87"/>
  <c r="Q9" i="6"/>
  <c r="S64" i="15" s="1"/>
  <c r="R14" i="87"/>
  <c r="R49" i="6"/>
  <c r="T70" i="15" s="1"/>
  <c r="S56" i="87"/>
  <c r="Q36" i="6"/>
  <c r="R41" i="87"/>
  <c r="R31" i="6"/>
  <c r="S36" i="87"/>
  <c r="U55" i="87"/>
  <c r="U48" i="6" s="1"/>
  <c r="T48" i="6"/>
  <c r="R44" i="6"/>
  <c r="S50" i="87"/>
  <c r="R37" i="6"/>
  <c r="T68" i="15" s="1"/>
  <c r="S42" i="87"/>
  <c r="Q29" i="6"/>
  <c r="R34" i="87"/>
  <c r="R30" i="6"/>
  <c r="T67" i="15" s="1"/>
  <c r="S35" i="87"/>
  <c r="S38" i="6"/>
  <c r="T43" i="87"/>
  <c r="R28" i="87"/>
  <c r="R23" i="6" s="1"/>
  <c r="T66" i="15" s="1"/>
  <c r="R16" i="6"/>
  <c r="T65" i="15" s="1"/>
  <c r="S21" i="87"/>
  <c r="T50" i="6"/>
  <c r="U57" i="87"/>
  <c r="U50" i="6" s="1"/>
  <c r="R35" i="41" l="1"/>
  <c r="T5" i="41"/>
  <c r="S26" i="41"/>
  <c r="S27" i="41"/>
  <c r="S28" i="41"/>
  <c r="S29" i="41"/>
  <c r="S21" i="41"/>
  <c r="S32" i="41"/>
  <c r="S19" i="41"/>
  <c r="S18" i="41"/>
  <c r="S20" i="41"/>
  <c r="S23" i="41"/>
  <c r="S31" i="41"/>
  <c r="S22" i="41"/>
  <c r="S25" i="41"/>
  <c r="S30" i="41"/>
  <c r="S24" i="41"/>
  <c r="S33" i="41"/>
  <c r="U48" i="87"/>
  <c r="U42" i="6" s="1"/>
  <c r="T42" i="6"/>
  <c r="S14" i="87"/>
  <c r="R9" i="6"/>
  <c r="T64" i="15" s="1"/>
  <c r="R10" i="6"/>
  <c r="S15" i="87"/>
  <c r="R29" i="87"/>
  <c r="R24" i="6" s="1"/>
  <c r="R17" i="6"/>
  <c r="S22" i="87"/>
  <c r="S43" i="6"/>
  <c r="U69" i="15" s="1"/>
  <c r="T49" i="87"/>
  <c r="T13" i="87"/>
  <c r="S8" i="6"/>
  <c r="R27" i="87"/>
  <c r="R22" i="6" s="1"/>
  <c r="R15" i="6"/>
  <c r="S20" i="87"/>
  <c r="T50" i="87"/>
  <c r="S44" i="6"/>
  <c r="S30" i="6"/>
  <c r="U67" i="15" s="1"/>
  <c r="T35" i="87"/>
  <c r="R29" i="6"/>
  <c r="S34" i="87"/>
  <c r="S28" i="87"/>
  <c r="S23" i="6" s="1"/>
  <c r="U66" i="15" s="1"/>
  <c r="S16" i="6"/>
  <c r="U65" i="15" s="1"/>
  <c r="T21" i="87"/>
  <c r="S49" i="6"/>
  <c r="U70" i="15" s="1"/>
  <c r="T56" i="87"/>
  <c r="S31" i="6"/>
  <c r="T36" i="87"/>
  <c r="U43" i="87"/>
  <c r="U38" i="6" s="1"/>
  <c r="T38" i="6"/>
  <c r="T42" i="87"/>
  <c r="S37" i="6"/>
  <c r="U68" i="15" s="1"/>
  <c r="R36" i="6"/>
  <c r="S41" i="87"/>
  <c r="S35" i="41" l="1"/>
  <c r="U5" i="41"/>
  <c r="T27" i="41"/>
  <c r="T26" i="41"/>
  <c r="T29" i="41"/>
  <c r="T28" i="41"/>
  <c r="T31" i="41"/>
  <c r="T33" i="41"/>
  <c r="T32" i="41"/>
  <c r="T19" i="41"/>
  <c r="T18" i="41"/>
  <c r="T30" i="41"/>
  <c r="T21" i="41"/>
  <c r="T20" i="41"/>
  <c r="T23" i="41"/>
  <c r="T22" i="41"/>
  <c r="T25" i="41"/>
  <c r="T24" i="41"/>
  <c r="T22" i="87"/>
  <c r="S17" i="6"/>
  <c r="S29" i="87"/>
  <c r="S24" i="6" s="1"/>
  <c r="T20" i="87"/>
  <c r="S27" i="87"/>
  <c r="S22" i="6" s="1"/>
  <c r="S15" i="6"/>
  <c r="U13" i="87"/>
  <c r="U8" i="6" s="1"/>
  <c r="T8" i="6"/>
  <c r="T15" i="87"/>
  <c r="S10" i="6"/>
  <c r="T43" i="6"/>
  <c r="V69" i="15" s="1"/>
  <c r="U49" i="87"/>
  <c r="U43" i="6" s="1"/>
  <c r="W69" i="15" s="1"/>
  <c r="S9" i="6"/>
  <c r="U64" i="15" s="1"/>
  <c r="T14" i="87"/>
  <c r="S36" i="6"/>
  <c r="T41" i="87"/>
  <c r="T31" i="6"/>
  <c r="U36" i="87"/>
  <c r="U31" i="6" s="1"/>
  <c r="T34" i="87"/>
  <c r="S29" i="6"/>
  <c r="T37" i="6"/>
  <c r="V68" i="15" s="1"/>
  <c r="U42" i="87"/>
  <c r="U37" i="6" s="1"/>
  <c r="U35" i="87"/>
  <c r="U30" i="6" s="1"/>
  <c r="W67" i="15" s="1"/>
  <c r="T30" i="6"/>
  <c r="V67" i="15" s="1"/>
  <c r="T49" i="6"/>
  <c r="V70" i="15" s="1"/>
  <c r="U56" i="87"/>
  <c r="U49" i="6" s="1"/>
  <c r="W70" i="15" s="1"/>
  <c r="T28" i="87"/>
  <c r="T23" i="6" s="1"/>
  <c r="V66" i="15" s="1"/>
  <c r="T16" i="6"/>
  <c r="V65" i="15" s="1"/>
  <c r="U21" i="87"/>
  <c r="T44" i="6"/>
  <c r="U50" i="87"/>
  <c r="U44" i="6" s="1"/>
  <c r="T35" i="41" l="1"/>
  <c r="V5" i="41"/>
  <c r="U19" i="41"/>
  <c r="U24" i="41"/>
  <c r="U30" i="41"/>
  <c r="U21" i="41"/>
  <c r="U32" i="41"/>
  <c r="U25" i="41"/>
  <c r="U26" i="41"/>
  <c r="U27" i="41"/>
  <c r="U23" i="41"/>
  <c r="U28" i="41"/>
  <c r="U18" i="41"/>
  <c r="U29" i="41"/>
  <c r="U20" i="41"/>
  <c r="U31" i="41"/>
  <c r="U22" i="41"/>
  <c r="U33" i="41"/>
  <c r="T9" i="6"/>
  <c r="V64" i="15" s="1"/>
  <c r="U14" i="87"/>
  <c r="U9" i="6" s="1"/>
  <c r="W64" i="15" s="1"/>
  <c r="T27" i="87"/>
  <c r="T22" i="6" s="1"/>
  <c r="U20" i="87"/>
  <c r="T15" i="6"/>
  <c r="T10" i="6"/>
  <c r="U15" i="87"/>
  <c r="U10" i="6" s="1"/>
  <c r="T29" i="87"/>
  <c r="T24" i="6" s="1"/>
  <c r="U22" i="87"/>
  <c r="T17" i="6"/>
  <c r="T29" i="6"/>
  <c r="U34" i="87"/>
  <c r="U29" i="6" s="1"/>
  <c r="U16" i="6"/>
  <c r="W65" i="15" s="1"/>
  <c r="U28" i="87"/>
  <c r="U23" i="6" s="1"/>
  <c r="W66" i="15" s="1"/>
  <c r="T36" i="6"/>
  <c r="U41" i="87"/>
  <c r="U36" i="6" s="1"/>
  <c r="W68" i="15" s="1"/>
  <c r="U35" i="41" l="1"/>
  <c r="W5" i="41"/>
  <c r="V22" i="41"/>
  <c r="V24" i="41"/>
  <c r="V25" i="41"/>
  <c r="V27" i="41"/>
  <c r="V28" i="41"/>
  <c r="V29" i="41"/>
  <c r="V30" i="41"/>
  <c r="V31" i="41"/>
  <c r="V32" i="41"/>
  <c r="V33" i="41"/>
  <c r="V18" i="41"/>
  <c r="V19" i="41"/>
  <c r="V20" i="41"/>
  <c r="V21" i="41"/>
  <c r="V23" i="41"/>
  <c r="V26" i="41"/>
  <c r="U15" i="6"/>
  <c r="U27" i="87"/>
  <c r="U22" i="6" s="1"/>
  <c r="U29" i="87"/>
  <c r="U24" i="6" s="1"/>
  <c r="U17" i="6"/>
  <c r="D169" i="15" a="1"/>
  <c r="D169" i="15" s="1"/>
  <c r="D78" i="15" a="1"/>
  <c r="V35" i="41" l="1"/>
  <c r="W20" i="41"/>
  <c r="W22" i="41"/>
  <c r="W31" i="41"/>
  <c r="W26" i="41"/>
  <c r="W25" i="41"/>
  <c r="W28" i="41"/>
  <c r="W33" i="41"/>
  <c r="W30" i="41"/>
  <c r="W29" i="41"/>
  <c r="W32" i="41"/>
  <c r="W24" i="41"/>
  <c r="W27" i="41"/>
  <c r="W18" i="41"/>
  <c r="W19" i="41"/>
  <c r="W21" i="41"/>
  <c r="W23" i="41"/>
  <c r="P92" i="15"/>
  <c r="H93" i="15"/>
  <c r="M95" i="15"/>
  <c r="V92" i="15"/>
  <c r="H92" i="15"/>
  <c r="R89" i="15"/>
  <c r="E94" i="15"/>
  <c r="T91" i="15"/>
  <c r="S91" i="15"/>
  <c r="R90" i="15"/>
  <c r="J91" i="15"/>
  <c r="D78" i="15"/>
  <c r="Q95" i="15"/>
  <c r="N93" i="15"/>
  <c r="E91" i="15"/>
  <c r="K94" i="15"/>
  <c r="J94" i="15"/>
  <c r="H91" i="15"/>
  <c r="D95" i="15"/>
  <c r="Q90" i="15"/>
  <c r="N95" i="15"/>
  <c r="O94" i="15"/>
  <c r="I89" i="15"/>
  <c r="R95" i="15"/>
  <c r="G89" i="15"/>
  <c r="W93" i="15"/>
  <c r="M89" i="15"/>
  <c r="E90" i="15"/>
  <c r="O95" i="15"/>
  <c r="W89" i="15"/>
  <c r="G93" i="15"/>
  <c r="K90" i="15"/>
  <c r="K89" i="15"/>
  <c r="F94" i="15"/>
  <c r="Q94" i="15"/>
  <c r="W91" i="15"/>
  <c r="T95" i="15"/>
  <c r="I91" i="15"/>
  <c r="L94" i="15"/>
  <c r="P91" i="15"/>
  <c r="J89" i="15"/>
  <c r="E95" i="15"/>
  <c r="N92" i="15"/>
  <c r="P95" i="15"/>
  <c r="T92" i="15"/>
  <c r="L93" i="15"/>
  <c r="U95" i="15"/>
  <c r="K93" i="15"/>
  <c r="F92" i="15"/>
  <c r="R93" i="15"/>
  <c r="F91" i="15"/>
  <c r="I92" i="15"/>
  <c r="M93" i="15"/>
  <c r="E92" i="15"/>
  <c r="G95" i="15"/>
  <c r="P94" i="15"/>
  <c r="S92" i="15"/>
  <c r="W94" i="15"/>
  <c r="K92" i="15"/>
  <c r="M90" i="15"/>
  <c r="O90" i="15"/>
  <c r="S90" i="15"/>
  <c r="K91" i="15"/>
  <c r="G91" i="15"/>
  <c r="R91" i="15"/>
  <c r="S89" i="15"/>
  <c r="U91" i="15"/>
  <c r="L89" i="15"/>
  <c r="E89" i="15"/>
  <c r="P89" i="15"/>
  <c r="S94" i="15"/>
  <c r="G90" i="15"/>
  <c r="N90" i="15"/>
  <c r="U89" i="15"/>
  <c r="H95" i="15"/>
  <c r="M94" i="15"/>
  <c r="H90" i="15"/>
  <c r="L95" i="15"/>
  <c r="T90" i="15"/>
  <c r="M92" i="15"/>
  <c r="O89" i="15"/>
  <c r="J93" i="15"/>
  <c r="Q93" i="15"/>
  <c r="H94" i="15"/>
  <c r="V91" i="15"/>
  <c r="L92" i="15"/>
  <c r="W92" i="15"/>
  <c r="M91" i="15"/>
  <c r="N89" i="15"/>
  <c r="F93" i="15"/>
  <c r="I93" i="15"/>
  <c r="T93" i="15"/>
  <c r="K95" i="15"/>
  <c r="L90" i="15"/>
  <c r="D90" i="15"/>
  <c r="G94" i="15"/>
  <c r="N91" i="15"/>
  <c r="H89" i="15"/>
  <c r="N94" i="15"/>
  <c r="D92" i="15"/>
  <c r="V95" i="15"/>
  <c r="Q91" i="15"/>
  <c r="T94" i="15"/>
  <c r="Q92" i="15"/>
  <c r="U90" i="15"/>
  <c r="D93" i="15"/>
  <c r="G92" i="15"/>
  <c r="T89" i="15"/>
  <c r="R92" i="15"/>
  <c r="I94" i="15"/>
  <c r="J95" i="15"/>
  <c r="V94" i="15"/>
  <c r="E93" i="15"/>
  <c r="F90" i="15"/>
  <c r="Q89" i="15"/>
  <c r="U92" i="15"/>
  <c r="I90" i="15"/>
  <c r="W90" i="15"/>
  <c r="V90" i="15"/>
  <c r="F95" i="15"/>
  <c r="S93" i="15"/>
  <c r="I95" i="15"/>
  <c r="L91" i="15"/>
  <c r="U94" i="15"/>
  <c r="O92" i="15"/>
  <c r="V93" i="15"/>
  <c r="U93" i="15"/>
  <c r="W95" i="15"/>
  <c r="D91" i="15"/>
  <c r="F89" i="15"/>
  <c r="O93" i="15"/>
  <c r="R94" i="15"/>
  <c r="P93" i="15"/>
  <c r="V89" i="15"/>
  <c r="D94" i="15"/>
  <c r="J90" i="15"/>
  <c r="S95" i="15"/>
  <c r="J92" i="15"/>
  <c r="P90" i="15"/>
  <c r="O91" i="15"/>
  <c r="E24" i="95" a="1"/>
  <c r="E24" i="95" s="1"/>
  <c r="E13" i="95" a="1"/>
  <c r="E13" i="95" s="1"/>
  <c r="E14" i="95" s="1" a="1"/>
  <c r="E14" i="95" s="1"/>
  <c r="D14" i="95" s="1"/>
  <c r="E25" i="95" a="1"/>
  <c r="E25" i="95" s="1"/>
  <c r="E26" i="95" s="1" a="1"/>
  <c r="E26" i="95" s="1"/>
  <c r="D26" i="95" s="1"/>
  <c r="E12" i="95" a="1"/>
  <c r="E12" i="95" s="1"/>
  <c r="M58" i="41" l="1"/>
  <c r="K58" i="41"/>
  <c r="P58" i="41"/>
  <c r="H58" i="41"/>
  <c r="R58" i="41"/>
  <c r="J58" i="41"/>
  <c r="W58" i="41"/>
  <c r="L58" i="41"/>
  <c r="E58" i="41"/>
  <c r="D58" i="41"/>
  <c r="F58" i="41"/>
  <c r="S58" i="41"/>
  <c r="N58" i="41"/>
  <c r="O58" i="41"/>
  <c r="T58" i="41"/>
  <c r="Q58" i="41"/>
  <c r="V58" i="41"/>
  <c r="I58" i="41"/>
  <c r="G58" i="41"/>
  <c r="U58" i="41"/>
  <c r="W35" i="41"/>
  <c r="D89" i="15"/>
  <c r="D156" i="15" s="1" a="1"/>
  <c r="G164" i="15" s="1"/>
  <c r="D144" i="15" a="1"/>
  <c r="D102" i="15" a="1"/>
  <c r="N110" i="15" l="1"/>
  <c r="E110" i="15"/>
  <c r="H120" i="15"/>
  <c r="G116" i="15"/>
  <c r="L120" i="15"/>
  <c r="E118" i="15"/>
  <c r="V119" i="15"/>
  <c r="Q121" i="15"/>
  <c r="H116" i="15"/>
  <c r="S121" i="15"/>
  <c r="D116" i="15"/>
  <c r="S117" i="15"/>
  <c r="R121" i="15"/>
  <c r="L117" i="15"/>
  <c r="D102" i="15"/>
  <c r="Q119" i="15"/>
  <c r="K119" i="15"/>
  <c r="P121" i="15"/>
  <c r="V118" i="15"/>
  <c r="U115" i="15"/>
  <c r="G120" i="15"/>
  <c r="H118" i="15"/>
  <c r="F119" i="15"/>
  <c r="V120" i="15"/>
  <c r="Q120" i="15"/>
  <c r="J120" i="15"/>
  <c r="S110" i="15"/>
  <c r="S118" i="15"/>
  <c r="F116" i="15"/>
  <c r="S116" i="15"/>
  <c r="K117" i="15"/>
  <c r="M118" i="15"/>
  <c r="W116" i="15"/>
  <c r="U117" i="15"/>
  <c r="H110" i="15"/>
  <c r="K110" i="15"/>
  <c r="M110" i="15"/>
  <c r="P119" i="15"/>
  <c r="J119" i="15"/>
  <c r="F120" i="15"/>
  <c r="N115" i="15"/>
  <c r="I116" i="15"/>
  <c r="V116" i="15"/>
  <c r="H115" i="15"/>
  <c r="K121" i="15"/>
  <c r="T120" i="15"/>
  <c r="U120" i="15"/>
  <c r="U110" i="15"/>
  <c r="M116" i="15"/>
  <c r="F118" i="15"/>
  <c r="T110" i="15"/>
  <c r="K116" i="15"/>
  <c r="P118" i="15"/>
  <c r="J110" i="15"/>
  <c r="L110" i="15"/>
  <c r="F110" i="15"/>
  <c r="O117" i="15"/>
  <c r="H117" i="15"/>
  <c r="N121" i="15"/>
  <c r="F117" i="15"/>
  <c r="L119" i="15"/>
  <c r="S120" i="15"/>
  <c r="V115" i="15"/>
  <c r="W115" i="15"/>
  <c r="N117" i="15"/>
  <c r="N120" i="15"/>
  <c r="N116" i="15"/>
  <c r="O120" i="15"/>
  <c r="U118" i="15"/>
  <c r="K120" i="15"/>
  <c r="J118" i="15"/>
  <c r="W118" i="15"/>
  <c r="T118" i="15"/>
  <c r="O110" i="15"/>
  <c r="O119" i="15"/>
  <c r="S119" i="15"/>
  <c r="O118" i="15"/>
  <c r="Q116" i="15"/>
  <c r="I110" i="15"/>
  <c r="V110" i="15"/>
  <c r="F121" i="15"/>
  <c r="M115" i="15"/>
  <c r="I115" i="15"/>
  <c r="J115" i="15"/>
  <c r="N118" i="15"/>
  <c r="T117" i="15"/>
  <c r="H119" i="15"/>
  <c r="R120" i="15"/>
  <c r="G121" i="15"/>
  <c r="I118" i="15"/>
  <c r="G115" i="15"/>
  <c r="T115" i="15"/>
  <c r="M120" i="15"/>
  <c r="M121" i="15"/>
  <c r="U119" i="15"/>
  <c r="G117" i="15"/>
  <c r="Q118" i="15"/>
  <c r="G119" i="15"/>
  <c r="E119" i="15"/>
  <c r="Q115" i="15"/>
  <c r="I117" i="15"/>
  <c r="Q110" i="15"/>
  <c r="G110" i="15"/>
  <c r="H121" i="15"/>
  <c r="E117" i="15"/>
  <c r="R115" i="15"/>
  <c r="T116" i="15"/>
  <c r="S115" i="15"/>
  <c r="L121" i="15"/>
  <c r="I120" i="15"/>
  <c r="R118" i="15"/>
  <c r="J121" i="15"/>
  <c r="R119" i="15"/>
  <c r="E121" i="15"/>
  <c r="U116" i="15"/>
  <c r="K118" i="15"/>
  <c r="W121" i="15"/>
  <c r="P120" i="15"/>
  <c r="O115" i="15"/>
  <c r="D120" i="15"/>
  <c r="N119" i="15"/>
  <c r="P115" i="15"/>
  <c r="O121" i="15"/>
  <c r="W120" i="15"/>
  <c r="E115" i="15"/>
  <c r="U121" i="15"/>
  <c r="K115" i="15"/>
  <c r="P110" i="15"/>
  <c r="R116" i="15"/>
  <c r="P116" i="15"/>
  <c r="W117" i="15"/>
  <c r="F115" i="15"/>
  <c r="I121" i="15"/>
  <c r="T121" i="15"/>
  <c r="W119" i="15"/>
  <c r="R110" i="15"/>
  <c r="W110" i="15"/>
  <c r="J116" i="15"/>
  <c r="D118" i="15"/>
  <c r="I119" i="15"/>
  <c r="V117" i="15"/>
  <c r="P117" i="15"/>
  <c r="V121" i="15"/>
  <c r="L115" i="15"/>
  <c r="R117" i="15"/>
  <c r="D117" i="15"/>
  <c r="O116" i="15"/>
  <c r="J117" i="15"/>
  <c r="G118" i="15"/>
  <c r="L116" i="15"/>
  <c r="D121" i="15"/>
  <c r="M119" i="15"/>
  <c r="M117" i="15"/>
  <c r="E116" i="15"/>
  <c r="T119" i="15"/>
  <c r="Q117" i="15"/>
  <c r="L118" i="15"/>
  <c r="E120" i="15"/>
  <c r="D119" i="15"/>
  <c r="S152" i="15"/>
  <c r="M152" i="15"/>
  <c r="D144" i="15"/>
  <c r="D152" i="15" s="1"/>
  <c r="W152" i="15"/>
  <c r="P152" i="15"/>
  <c r="U152" i="15"/>
  <c r="R152" i="15"/>
  <c r="H152" i="15"/>
  <c r="I152" i="15"/>
  <c r="L152" i="15"/>
  <c r="N152" i="15"/>
  <c r="Q152" i="15"/>
  <c r="T152" i="15"/>
  <c r="V152" i="15"/>
  <c r="K152" i="15"/>
  <c r="E152" i="15"/>
  <c r="G152" i="15"/>
  <c r="J152" i="15"/>
  <c r="O152" i="15"/>
  <c r="F152" i="15"/>
  <c r="L164" i="15"/>
  <c r="W164" i="15"/>
  <c r="D156" i="15"/>
  <c r="D164" i="15" s="1"/>
  <c r="U164" i="15"/>
  <c r="F164" i="15"/>
  <c r="M164" i="15"/>
  <c r="R164" i="15"/>
  <c r="P164" i="15"/>
  <c r="E164" i="15"/>
  <c r="H164" i="15"/>
  <c r="J164" i="15"/>
  <c r="Q164" i="15"/>
  <c r="O164" i="15"/>
  <c r="V164" i="15"/>
  <c r="T164" i="15"/>
  <c r="K164" i="15"/>
  <c r="N164" i="15"/>
  <c r="S164" i="15"/>
  <c r="I164" i="15"/>
  <c r="Z164" i="15" l="1" a="1"/>
  <c r="Z164" i="15" s="1"/>
  <c r="L123" i="15"/>
  <c r="O123" i="15"/>
  <c r="W123" i="15"/>
  <c r="K123" i="15"/>
  <c r="V123" i="15"/>
  <c r="D110" i="15"/>
  <c r="D115" i="15"/>
  <c r="D123" i="15" s="1"/>
  <c r="D129" i="15" a="1"/>
  <c r="D28" i="35" a="1"/>
  <c r="D27" i="35" a="1"/>
  <c r="D26" i="35" a="1"/>
  <c r="D29" i="35" a="1"/>
  <c r="D17" i="35" a="1"/>
  <c r="D16" i="35" a="1"/>
  <c r="E123" i="15"/>
  <c r="F123" i="15"/>
  <c r="S123" i="15"/>
  <c r="Q123" i="15"/>
  <c r="T123" i="15"/>
  <c r="J123" i="15"/>
  <c r="H123" i="15"/>
  <c r="U123" i="15"/>
  <c r="G123" i="15"/>
  <c r="I123" i="15"/>
  <c r="D30" i="35" a="1"/>
  <c r="D31" i="35" a="1"/>
  <c r="Z152" i="15" a="1"/>
  <c r="Z152" i="15" s="1"/>
  <c r="P123" i="15"/>
  <c r="R123" i="15"/>
  <c r="M123" i="15"/>
  <c r="N123" i="15"/>
  <c r="D30" i="35" l="1"/>
  <c r="D27" i="35"/>
  <c r="D31" i="35"/>
  <c r="D28" i="35"/>
  <c r="L137" i="15"/>
  <c r="Q137" i="15"/>
  <c r="T137" i="15"/>
  <c r="F137" i="15"/>
  <c r="O137" i="15"/>
  <c r="K137" i="15"/>
  <c r="W137" i="15"/>
  <c r="N137" i="15"/>
  <c r="J137" i="15"/>
  <c r="D129" i="15"/>
  <c r="D137" i="15" s="1"/>
  <c r="M137" i="15"/>
  <c r="S137" i="15"/>
  <c r="U137" i="15"/>
  <c r="I137" i="15"/>
  <c r="G137" i="15"/>
  <c r="V137" i="15"/>
  <c r="H137" i="15"/>
  <c r="P137" i="15"/>
  <c r="E137" i="15"/>
  <c r="R137" i="15"/>
  <c r="D16" i="35"/>
  <c r="Z123" i="15" a="1"/>
  <c r="Z123" i="15" s="1"/>
  <c r="D26" i="35"/>
  <c r="D17" i="35"/>
  <c r="D19" i="35" a="1"/>
  <c r="D18" i="35" a="1"/>
  <c r="Z110" i="15" a="1"/>
  <c r="Z110" i="15" s="1"/>
  <c r="D29" i="35"/>
  <c r="Z30" i="35" a="1"/>
  <c r="Z26" i="35" a="1"/>
  <c r="Z31" i="35" a="1"/>
  <c r="Z16" i="35" a="1"/>
  <c r="Z28" i="35" a="1"/>
  <c r="Z27" i="35" a="1"/>
  <c r="Z29" i="35" a="1"/>
  <c r="Z17" i="35" a="1"/>
  <c r="Z30" i="35" l="1"/>
  <c r="D111" i="35"/>
  <c r="D44" i="35"/>
  <c r="Z17" i="35"/>
  <c r="Z29" i="35"/>
  <c r="D53" i="35"/>
  <c r="D120" i="35"/>
  <c r="D54" i="35"/>
  <c r="D121" i="35"/>
  <c r="Z27" i="35"/>
  <c r="Z28" i="35"/>
  <c r="D123" i="35"/>
  <c r="D56" i="35"/>
  <c r="D122" i="35"/>
  <c r="D55" i="35"/>
  <c r="Z137" i="15" a="1"/>
  <c r="Z137" i="15" s="1"/>
  <c r="Z24" i="35" s="1" a="1"/>
  <c r="Z24" i="35" s="1"/>
  <c r="D20" i="35" a="1"/>
  <c r="D22" i="35" a="1"/>
  <c r="D24" i="35" a="1"/>
  <c r="D25" i="35" a="1"/>
  <c r="D23" i="35" a="1"/>
  <c r="D21" i="35" a="1"/>
  <c r="Z16" i="35"/>
  <c r="Z19" i="35" a="1"/>
  <c r="Z18" i="35" a="1"/>
  <c r="D43" i="35"/>
  <c r="D110" i="35"/>
  <c r="Z31" i="35"/>
  <c r="D18" i="35"/>
  <c r="D57" i="35"/>
  <c r="D124" i="35"/>
  <c r="Z26" i="35"/>
  <c r="D19" i="35"/>
  <c r="D125" i="35"/>
  <c r="D58" i="35"/>
  <c r="D25" i="35" l="1"/>
  <c r="Z122" i="35"/>
  <c r="AV122" i="35" s="1"/>
  <c r="Z55" i="35"/>
  <c r="D113" i="35"/>
  <c r="D46" i="35"/>
  <c r="D24" i="35"/>
  <c r="Z54" i="35"/>
  <c r="Z121" i="35"/>
  <c r="AV121" i="35" s="1"/>
  <c r="Z44" i="35"/>
  <c r="Z111" i="35"/>
  <c r="AV111" i="35" s="1"/>
  <c r="Z120" i="35"/>
  <c r="AV120" i="35" s="1"/>
  <c r="Z53" i="35"/>
  <c r="K65" i="35"/>
  <c r="D87" i="35"/>
  <c r="D22" i="35"/>
  <c r="D88" i="35"/>
  <c r="K66" i="35"/>
  <c r="D20" i="35"/>
  <c r="D98" i="35"/>
  <c r="K76" i="35"/>
  <c r="Z58" i="35"/>
  <c r="AV58" i="35" s="1"/>
  <c r="Z125" i="35"/>
  <c r="AV125" i="35" s="1"/>
  <c r="Z19" i="35"/>
  <c r="Z20" i="35" a="1"/>
  <c r="Z25" i="35" a="1"/>
  <c r="Z23" i="35" a="1"/>
  <c r="Z22" i="35" a="1"/>
  <c r="Z21" i="35" a="1"/>
  <c r="Z18" i="35"/>
  <c r="D102" i="35"/>
  <c r="K80" i="35"/>
  <c r="K79" i="35"/>
  <c r="D101" i="35"/>
  <c r="Z43" i="35"/>
  <c r="AV43" i="35" s="1"/>
  <c r="Z110" i="35"/>
  <c r="AV110" i="35" s="1"/>
  <c r="K77" i="35"/>
  <c r="AV55" i="35"/>
  <c r="D99" i="35"/>
  <c r="K75" i="35"/>
  <c r="AV53" i="35"/>
  <c r="D97" i="35"/>
  <c r="D112" i="35"/>
  <c r="D45" i="35"/>
  <c r="D21" i="35"/>
  <c r="Z56" i="35"/>
  <c r="Z123" i="35"/>
  <c r="AV123" i="35" s="1"/>
  <c r="Z57" i="35"/>
  <c r="Z124" i="35"/>
  <c r="AV124" i="35" s="1"/>
  <c r="D23" i="35"/>
  <c r="K78" i="35"/>
  <c r="D100" i="35"/>
  <c r="Z101" i="35" l="1"/>
  <c r="AG79" i="35"/>
  <c r="Z45" i="35"/>
  <c r="Z112" i="35"/>
  <c r="D118" i="35"/>
  <c r="D51" i="35"/>
  <c r="AV57" i="35"/>
  <c r="Z21" i="35"/>
  <c r="E44" i="35"/>
  <c r="D90" i="35"/>
  <c r="K68" i="35"/>
  <c r="E56" i="35"/>
  <c r="AV56" i="35"/>
  <c r="AG78" i="35"/>
  <c r="Z100" i="35"/>
  <c r="E57" i="35"/>
  <c r="Z22" i="35"/>
  <c r="Z102" i="35"/>
  <c r="AG80" i="35"/>
  <c r="AV44" i="35"/>
  <c r="AG66" i="35"/>
  <c r="Z88" i="35"/>
  <c r="E55" i="35"/>
  <c r="Z23" i="35"/>
  <c r="D116" i="35"/>
  <c r="D49" i="35"/>
  <c r="Z99" i="35"/>
  <c r="AG77" i="35"/>
  <c r="D48" i="35"/>
  <c r="D115" i="35"/>
  <c r="Z25" i="35"/>
  <c r="E54" i="35"/>
  <c r="AV54" i="35"/>
  <c r="Z98" i="35"/>
  <c r="AG76" i="35"/>
  <c r="Z20" i="35"/>
  <c r="E43" i="35"/>
  <c r="E110" i="35" s="1"/>
  <c r="Z46" i="35"/>
  <c r="AV46" i="35" s="1"/>
  <c r="Z113" i="35"/>
  <c r="AV113" i="35" s="1"/>
  <c r="E53" i="35"/>
  <c r="D50" i="35"/>
  <c r="D117" i="35"/>
  <c r="K67" i="35"/>
  <c r="D89" i="35"/>
  <c r="E58" i="35"/>
  <c r="E125" i="35" s="1"/>
  <c r="AV112" i="35"/>
  <c r="AG65" i="35"/>
  <c r="Z87" i="35"/>
  <c r="D114" i="35"/>
  <c r="D47" i="35"/>
  <c r="Z97" i="35"/>
  <c r="AG75" i="35"/>
  <c r="D52" i="35"/>
  <c r="D119" i="35"/>
  <c r="E122" i="35" l="1"/>
  <c r="L77" i="35"/>
  <c r="K74" i="35"/>
  <c r="D96" i="35"/>
  <c r="L75" i="35"/>
  <c r="Z90" i="35"/>
  <c r="AG68" i="35"/>
  <c r="L76" i="35"/>
  <c r="E99" i="35"/>
  <c r="E101" i="35"/>
  <c r="L79" i="35"/>
  <c r="K72" i="35"/>
  <c r="D94" i="35"/>
  <c r="L80" i="35"/>
  <c r="E120" i="35"/>
  <c r="E87" i="35"/>
  <c r="L65" i="35"/>
  <c r="E98" i="35"/>
  <c r="AA55" i="35"/>
  <c r="AH77" i="35" s="1"/>
  <c r="AA44" i="35"/>
  <c r="AH66" i="35" s="1"/>
  <c r="E124" i="35"/>
  <c r="E46" i="35"/>
  <c r="K73" i="35"/>
  <c r="D95" i="35"/>
  <c r="Z48" i="35"/>
  <c r="Z115" i="35"/>
  <c r="AV115" i="35" s="1"/>
  <c r="AA53" i="35"/>
  <c r="AH75" i="35" s="1"/>
  <c r="E97" i="35"/>
  <c r="E121" i="35"/>
  <c r="D93" i="35"/>
  <c r="K71" i="35"/>
  <c r="AA56" i="35"/>
  <c r="AH78" i="35" s="1"/>
  <c r="L66" i="35"/>
  <c r="D92" i="35"/>
  <c r="AV48" i="35"/>
  <c r="K70" i="35"/>
  <c r="Z116" i="35"/>
  <c r="AV116" i="35" s="1"/>
  <c r="Z49" i="35"/>
  <c r="AV49" i="35" s="1"/>
  <c r="K69" i="35"/>
  <c r="D91" i="35"/>
  <c r="E102" i="35"/>
  <c r="E88" i="35"/>
  <c r="E45" i="35"/>
  <c r="Z47" i="35"/>
  <c r="AV47" i="35" s="1"/>
  <c r="Z114" i="35"/>
  <c r="AV114" i="35" s="1"/>
  <c r="E111" i="35"/>
  <c r="AV45" i="35"/>
  <c r="Z89" i="35"/>
  <c r="AG67" i="35"/>
  <c r="Z52" i="35"/>
  <c r="AV52" i="35" s="1"/>
  <c r="Z119" i="35"/>
  <c r="AV119" i="35" s="1"/>
  <c r="AA58" i="35"/>
  <c r="AH80" i="35" s="1"/>
  <c r="E100" i="35"/>
  <c r="L78" i="35"/>
  <c r="AA43" i="35"/>
  <c r="AH65" i="35" s="1"/>
  <c r="Z51" i="35"/>
  <c r="AV51" i="35" s="1"/>
  <c r="Z118" i="35"/>
  <c r="AV118" i="35" s="1"/>
  <c r="AA54" i="35"/>
  <c r="AH76" i="35" s="1"/>
  <c r="Z50" i="35"/>
  <c r="Z117" i="35"/>
  <c r="AV117" i="35" s="1"/>
  <c r="E123" i="35"/>
  <c r="AA57" i="35"/>
  <c r="AH79" i="35" s="1"/>
  <c r="AA98" i="35" l="1"/>
  <c r="AW53" i="35"/>
  <c r="AA97" i="35"/>
  <c r="AB53" i="35" s="1"/>
  <c r="AA123" i="35"/>
  <c r="AW123" i="35" s="1"/>
  <c r="AW43" i="35"/>
  <c r="AB54" i="35"/>
  <c r="AI76" i="35" s="1"/>
  <c r="AA45" i="35"/>
  <c r="AH67" i="35" s="1"/>
  <c r="F56" i="35"/>
  <c r="F123" i="35" s="1"/>
  <c r="F44" i="35"/>
  <c r="F111" i="35" s="1"/>
  <c r="F58" i="35"/>
  <c r="F125" i="35" s="1"/>
  <c r="E48" i="35"/>
  <c r="E49" i="35"/>
  <c r="Z92" i="35"/>
  <c r="AG70" i="35"/>
  <c r="AA88" i="35"/>
  <c r="F43" i="35"/>
  <c r="F57" i="35"/>
  <c r="F124" i="35" s="1"/>
  <c r="AA124" i="35"/>
  <c r="AW124" i="35" s="1"/>
  <c r="Z95" i="35"/>
  <c r="AG73" i="35"/>
  <c r="AA125" i="35"/>
  <c r="AW125" i="35" s="1"/>
  <c r="AW44" i="35"/>
  <c r="AA111" i="35"/>
  <c r="AW111" i="35" s="1"/>
  <c r="F55" i="35"/>
  <c r="F99" i="35" s="1"/>
  <c r="E52" i="35"/>
  <c r="AA102" i="35"/>
  <c r="Z91" i="35"/>
  <c r="AG69" i="35"/>
  <c r="E47" i="35"/>
  <c r="E91" i="35" s="1"/>
  <c r="F53" i="35"/>
  <c r="E51" i="35"/>
  <c r="AW58" i="35"/>
  <c r="AW54" i="35"/>
  <c r="AA101" i="35"/>
  <c r="AV50" i="35"/>
  <c r="AG72" i="35"/>
  <c r="Z94" i="35"/>
  <c r="AA87" i="35"/>
  <c r="E89" i="35"/>
  <c r="L67" i="35"/>
  <c r="AA122" i="35"/>
  <c r="AW122" i="35" s="1"/>
  <c r="AW55" i="35"/>
  <c r="AA110" i="35"/>
  <c r="AW110" i="35" s="1"/>
  <c r="Z96" i="35"/>
  <c r="AG74" i="35"/>
  <c r="E112" i="35"/>
  <c r="AG71" i="35"/>
  <c r="Z93" i="35"/>
  <c r="E113" i="35"/>
  <c r="L68" i="35"/>
  <c r="AA99" i="35"/>
  <c r="E50" i="35"/>
  <c r="AW57" i="35"/>
  <c r="AA121" i="35"/>
  <c r="AW121" i="35" s="1"/>
  <c r="AW56" i="35"/>
  <c r="AA100" i="35"/>
  <c r="AA120" i="35"/>
  <c r="AW120" i="35" s="1"/>
  <c r="E90" i="35"/>
  <c r="F54" i="35"/>
  <c r="AA46" i="35"/>
  <c r="AA90" i="35" s="1"/>
  <c r="E114" i="35" l="1"/>
  <c r="AA113" i="35"/>
  <c r="AW113" i="35" s="1"/>
  <c r="F102" i="35"/>
  <c r="AI75" i="35"/>
  <c r="AB120" i="35"/>
  <c r="AB97" i="35"/>
  <c r="AC53" i="35" s="1"/>
  <c r="AW45" i="35"/>
  <c r="AA49" i="35"/>
  <c r="AH71" i="35" s="1"/>
  <c r="L71" i="35"/>
  <c r="F47" i="35"/>
  <c r="F114" i="35" s="1"/>
  <c r="F101" i="35"/>
  <c r="E116" i="35"/>
  <c r="M66" i="35"/>
  <c r="L72" i="35"/>
  <c r="F45" i="35"/>
  <c r="F112" i="35" s="1"/>
  <c r="E93" i="35"/>
  <c r="F121" i="35"/>
  <c r="M76" i="35"/>
  <c r="AX54" i="35"/>
  <c r="F98" i="35"/>
  <c r="E94" i="35"/>
  <c r="AB43" i="35"/>
  <c r="AX43" i="35" s="1"/>
  <c r="E118" i="35"/>
  <c r="L73" i="35"/>
  <c r="AA47" i="35"/>
  <c r="AH69" i="35" s="1"/>
  <c r="F87" i="35"/>
  <c r="M65" i="35"/>
  <c r="L70" i="35"/>
  <c r="F88" i="35"/>
  <c r="AA112" i="35"/>
  <c r="AW112" i="35" s="1"/>
  <c r="G55" i="35"/>
  <c r="F46" i="35"/>
  <c r="F90" i="35" s="1"/>
  <c r="E117" i="35"/>
  <c r="AA52" i="35"/>
  <c r="AH74" i="35" s="1"/>
  <c r="AA50" i="35"/>
  <c r="AH72" i="35" s="1"/>
  <c r="E95" i="35"/>
  <c r="AB58" i="35"/>
  <c r="AI80" i="35" s="1"/>
  <c r="F110" i="35"/>
  <c r="E115" i="35"/>
  <c r="M78" i="35"/>
  <c r="AA89" i="35"/>
  <c r="G58" i="35"/>
  <c r="G125" i="35" s="1"/>
  <c r="AB55" i="35"/>
  <c r="AI77" i="35" s="1"/>
  <c r="F97" i="35"/>
  <c r="M75" i="35"/>
  <c r="AX53" i="35"/>
  <c r="E96" i="35"/>
  <c r="L74" i="35"/>
  <c r="AB44" i="35"/>
  <c r="AI66" i="35" s="1"/>
  <c r="E92" i="35"/>
  <c r="AB46" i="35"/>
  <c r="AI68" i="35" s="1"/>
  <c r="M79" i="35"/>
  <c r="AB56" i="35"/>
  <c r="AI78" i="35" s="1"/>
  <c r="F120" i="35"/>
  <c r="AX120" i="35" s="1"/>
  <c r="E119" i="35"/>
  <c r="AA51" i="35"/>
  <c r="AH73" i="35" s="1"/>
  <c r="M80" i="35"/>
  <c r="F100" i="35"/>
  <c r="AB98" i="35"/>
  <c r="AW46" i="35"/>
  <c r="AH68" i="35"/>
  <c r="AB57" i="35"/>
  <c r="L69" i="35"/>
  <c r="AW47" i="35"/>
  <c r="F122" i="35"/>
  <c r="M77" i="35"/>
  <c r="AA48" i="35"/>
  <c r="AH70" i="35" s="1"/>
  <c r="AB121" i="35"/>
  <c r="AX121" i="35" s="1"/>
  <c r="AW49" i="35" l="1"/>
  <c r="AJ75" i="35"/>
  <c r="AC120" i="35"/>
  <c r="AB110" i="35"/>
  <c r="AX110" i="35" s="1"/>
  <c r="AA119" i="35"/>
  <c r="AW119" i="35" s="1"/>
  <c r="AW52" i="35"/>
  <c r="AA95" i="35"/>
  <c r="AB51" i="35" s="1"/>
  <c r="AI73" i="35" s="1"/>
  <c r="AA118" i="35"/>
  <c r="AW118" i="35" s="1"/>
  <c r="AA115" i="35"/>
  <c r="AW115" i="35" s="1"/>
  <c r="AB90" i="35"/>
  <c r="AB122" i="35"/>
  <c r="AX122" i="35" s="1"/>
  <c r="AA114" i="35"/>
  <c r="AW114" i="35" s="1"/>
  <c r="AW51" i="35"/>
  <c r="AX55" i="35"/>
  <c r="AA96" i="35"/>
  <c r="AC97" i="35"/>
  <c r="AD53" i="35" s="1"/>
  <c r="AD120" i="35" s="1"/>
  <c r="G102" i="35"/>
  <c r="N80" i="35"/>
  <c r="AB125" i="35"/>
  <c r="AX125" i="35" s="1"/>
  <c r="AW48" i="35"/>
  <c r="AW50" i="35"/>
  <c r="F91" i="35"/>
  <c r="G44" i="35"/>
  <c r="G88" i="35" s="1"/>
  <c r="F52" i="35"/>
  <c r="AB102" i="35"/>
  <c r="AC46" i="35"/>
  <c r="AC54" i="35"/>
  <c r="AJ76" i="35" s="1"/>
  <c r="AB113" i="35"/>
  <c r="AB45" i="35"/>
  <c r="AI67" i="35" s="1"/>
  <c r="F51" i="35"/>
  <c r="F118" i="35" s="1"/>
  <c r="F113" i="35"/>
  <c r="M68" i="35"/>
  <c r="AX46" i="35"/>
  <c r="G56" i="35"/>
  <c r="F48" i="35"/>
  <c r="AX56" i="35"/>
  <c r="G46" i="35"/>
  <c r="G90" i="35" s="1"/>
  <c r="AB87" i="35"/>
  <c r="AI65" i="35"/>
  <c r="AX44" i="35"/>
  <c r="AX58" i="35"/>
  <c r="AB100" i="35"/>
  <c r="G53" i="35"/>
  <c r="AA94" i="35"/>
  <c r="G99" i="35"/>
  <c r="N77" i="35"/>
  <c r="G43" i="35"/>
  <c r="M69" i="35"/>
  <c r="AB101" i="35"/>
  <c r="AI79" i="35"/>
  <c r="AB123" i="35"/>
  <c r="AX123" i="35" s="1"/>
  <c r="AB111" i="35"/>
  <c r="AX111" i="35" s="1"/>
  <c r="AA117" i="35"/>
  <c r="AW117" i="35" s="1"/>
  <c r="G122" i="35"/>
  <c r="F50" i="35"/>
  <c r="F49" i="35"/>
  <c r="F93" i="35" s="1"/>
  <c r="AA93" i="35"/>
  <c r="AA92" i="35"/>
  <c r="AB124" i="35"/>
  <c r="AX124" i="35" s="1"/>
  <c r="AX57" i="35"/>
  <c r="AB88" i="35"/>
  <c r="AB99" i="35"/>
  <c r="AA91" i="35"/>
  <c r="G54" i="35"/>
  <c r="F89" i="35"/>
  <c r="M67" i="35"/>
  <c r="G57" i="35"/>
  <c r="G124" i="35" s="1"/>
  <c r="AA116" i="35"/>
  <c r="AW116" i="35" s="1"/>
  <c r="AC121" i="35" l="1"/>
  <c r="AB112" i="35"/>
  <c r="AX112" i="35" s="1"/>
  <c r="AX45" i="35"/>
  <c r="AB52" i="35"/>
  <c r="AI74" i="35" s="1"/>
  <c r="G49" i="35"/>
  <c r="H44" i="35"/>
  <c r="G101" i="35"/>
  <c r="N79" i="35"/>
  <c r="AC55" i="35"/>
  <c r="AC57" i="35"/>
  <c r="AJ79" i="35" s="1"/>
  <c r="AX51" i="35"/>
  <c r="M73" i="35"/>
  <c r="AC98" i="35"/>
  <c r="G111" i="35"/>
  <c r="AC44" i="35"/>
  <c r="AJ66" i="35" s="1"/>
  <c r="AB47" i="35"/>
  <c r="AB114" i="35" s="1"/>
  <c r="AX114" i="35" s="1"/>
  <c r="F94" i="35"/>
  <c r="M72" i="35"/>
  <c r="F92" i="35"/>
  <c r="M70" i="35"/>
  <c r="F117" i="35"/>
  <c r="AB50" i="35"/>
  <c r="AI72" i="35" s="1"/>
  <c r="F115" i="35"/>
  <c r="F95" i="35"/>
  <c r="AC90" i="35"/>
  <c r="AJ68" i="35"/>
  <c r="G47" i="35"/>
  <c r="G114" i="35" s="1"/>
  <c r="N66" i="35"/>
  <c r="N75" i="35"/>
  <c r="AY53" i="35"/>
  <c r="G123" i="35"/>
  <c r="N78" i="35"/>
  <c r="AC113" i="35"/>
  <c r="H58" i="35"/>
  <c r="F116" i="35"/>
  <c r="M71" i="35"/>
  <c r="H46" i="35"/>
  <c r="H113" i="35" s="1"/>
  <c r="H55" i="35"/>
  <c r="H99" i="35" s="1"/>
  <c r="G45" i="35"/>
  <c r="G89" i="35" s="1"/>
  <c r="AB92" i="35"/>
  <c r="AB48" i="35"/>
  <c r="AI70" i="35" s="1"/>
  <c r="N65" i="35"/>
  <c r="G97" i="35"/>
  <c r="AC43" i="35"/>
  <c r="AY43" i="35" s="1"/>
  <c r="G100" i="35"/>
  <c r="AC58" i="35"/>
  <c r="AC102" i="35" s="1"/>
  <c r="AD97" i="35"/>
  <c r="AK75" i="35"/>
  <c r="G121" i="35"/>
  <c r="AY121" i="35" s="1"/>
  <c r="AY54" i="35"/>
  <c r="N76" i="35"/>
  <c r="AB49" i="35"/>
  <c r="AI71" i="35" s="1"/>
  <c r="G87" i="35"/>
  <c r="G120" i="35"/>
  <c r="AY120" i="35" s="1"/>
  <c r="N68" i="35"/>
  <c r="AY46" i="35"/>
  <c r="AB89" i="35"/>
  <c r="F119" i="35"/>
  <c r="M74" i="35"/>
  <c r="AX52" i="35"/>
  <c r="AB118" i="35"/>
  <c r="AX118" i="35" s="1"/>
  <c r="G98" i="35"/>
  <c r="G110" i="35"/>
  <c r="AC56" i="35"/>
  <c r="AJ78" i="35" s="1"/>
  <c r="G113" i="35"/>
  <c r="AX113" i="35"/>
  <c r="F96" i="35"/>
  <c r="AB119" i="35"/>
  <c r="AX119" i="35" s="1"/>
  <c r="AB95" i="35"/>
  <c r="AY57" i="35" l="1"/>
  <c r="AY44" i="35"/>
  <c r="AB115" i="35"/>
  <c r="AC100" i="35"/>
  <c r="G91" i="35"/>
  <c r="AB94" i="35"/>
  <c r="AC123" i="35"/>
  <c r="AY123" i="35" s="1"/>
  <c r="AY56" i="35"/>
  <c r="AX48" i="35"/>
  <c r="AB93" i="35"/>
  <c r="AX49" i="35"/>
  <c r="AB96" i="35"/>
  <c r="AC52" i="35" s="1"/>
  <c r="AJ74" i="35" s="1"/>
  <c r="H45" i="35"/>
  <c r="AD58" i="35"/>
  <c r="AK80" i="35" s="1"/>
  <c r="G52" i="35"/>
  <c r="H56" i="35"/>
  <c r="H123" i="35" s="1"/>
  <c r="AB91" i="35"/>
  <c r="H57" i="35"/>
  <c r="AC87" i="35"/>
  <c r="AD46" i="35"/>
  <c r="AZ46" i="35" s="1"/>
  <c r="AC101" i="35"/>
  <c r="O66" i="35"/>
  <c r="AC48" i="35"/>
  <c r="AJ70" i="35" s="1"/>
  <c r="AI69" i="35"/>
  <c r="AX47" i="35"/>
  <c r="N67" i="35"/>
  <c r="H43" i="35"/>
  <c r="H110" i="35" s="1"/>
  <c r="AE53" i="35"/>
  <c r="H53" i="35"/>
  <c r="G112" i="35"/>
  <c r="O80" i="35"/>
  <c r="G51" i="35"/>
  <c r="G118" i="35" s="1"/>
  <c r="G48" i="35"/>
  <c r="G115" i="35" s="1"/>
  <c r="AC111" i="35"/>
  <c r="AY111" i="35" s="1"/>
  <c r="AC124" i="35"/>
  <c r="AY124" i="35" s="1"/>
  <c r="H88" i="35"/>
  <c r="H54" i="35"/>
  <c r="H98" i="35" s="1"/>
  <c r="AC50" i="35"/>
  <c r="AJ72" i="35" s="1"/>
  <c r="AD56" i="35"/>
  <c r="AK78" i="35" s="1"/>
  <c r="H122" i="35"/>
  <c r="O77" i="35"/>
  <c r="H102" i="35"/>
  <c r="AX115" i="35"/>
  <c r="AC88" i="35"/>
  <c r="AC99" i="35"/>
  <c r="AJ77" i="35"/>
  <c r="AY55" i="35"/>
  <c r="H111" i="35"/>
  <c r="AC110" i="35"/>
  <c r="AY110" i="35" s="1"/>
  <c r="AJ65" i="35"/>
  <c r="AC49" i="35"/>
  <c r="AJ71" i="35" s="1"/>
  <c r="AJ80" i="35"/>
  <c r="AY58" i="35"/>
  <c r="I55" i="35"/>
  <c r="I122" i="35" s="1"/>
  <c r="H125" i="35"/>
  <c r="AX50" i="35"/>
  <c r="AC122" i="35"/>
  <c r="AY122" i="35" s="1"/>
  <c r="G116" i="35"/>
  <c r="N71" i="35"/>
  <c r="AC45" i="35"/>
  <c r="AY45" i="35" s="1"/>
  <c r="H47" i="35"/>
  <c r="AC51" i="35"/>
  <c r="AJ73" i="35" s="1"/>
  <c r="AB116" i="35"/>
  <c r="AX116" i="35" s="1"/>
  <c r="AC125" i="35"/>
  <c r="AY125" i="35" s="1"/>
  <c r="H90" i="35"/>
  <c r="O68" i="35"/>
  <c r="AY113" i="35"/>
  <c r="N69" i="35"/>
  <c r="AB117" i="35"/>
  <c r="AX117" i="35" s="1"/>
  <c r="G50" i="35"/>
  <c r="AD54" i="35"/>
  <c r="AK76" i="35" s="1"/>
  <c r="G93" i="35"/>
  <c r="AC96" i="35" l="1"/>
  <c r="AC112" i="35"/>
  <c r="AY112" i="35" s="1"/>
  <c r="AZ58" i="35"/>
  <c r="AC95" i="35"/>
  <c r="AD51" i="35" s="1"/>
  <c r="AK73" i="35" s="1"/>
  <c r="AC118" i="35"/>
  <c r="AY118" i="35" s="1"/>
  <c r="AC119" i="35"/>
  <c r="AC115" i="35"/>
  <c r="AY115" i="35" s="1"/>
  <c r="AY49" i="35"/>
  <c r="AC117" i="35"/>
  <c r="AC92" i="35"/>
  <c r="I54" i="35"/>
  <c r="AD98" i="35"/>
  <c r="H87" i="35"/>
  <c r="G96" i="35"/>
  <c r="N74" i="35"/>
  <c r="AY52" i="35"/>
  <c r="I44" i="35"/>
  <c r="G119" i="35"/>
  <c r="AD52" i="35"/>
  <c r="AK74" i="35" s="1"/>
  <c r="H114" i="35"/>
  <c r="O69" i="35"/>
  <c r="AD55" i="35"/>
  <c r="AD123" i="35"/>
  <c r="AZ123" i="35" s="1"/>
  <c r="H101" i="35"/>
  <c r="O79" i="35"/>
  <c r="O65" i="35"/>
  <c r="AD121" i="35"/>
  <c r="N72" i="35"/>
  <c r="AY50" i="35"/>
  <c r="G117" i="35"/>
  <c r="I46" i="35"/>
  <c r="I90" i="35" s="1"/>
  <c r="H91" i="35"/>
  <c r="AC93" i="35"/>
  <c r="AD44" i="35"/>
  <c r="AD100" i="35"/>
  <c r="H120" i="35"/>
  <c r="AZ120" i="35" s="1"/>
  <c r="O75" i="35"/>
  <c r="AZ53" i="35"/>
  <c r="AD57" i="35"/>
  <c r="AK79" i="35" s="1"/>
  <c r="H124" i="35"/>
  <c r="AD102" i="35"/>
  <c r="H121" i="35"/>
  <c r="O76" i="35"/>
  <c r="AZ54" i="35"/>
  <c r="G94" i="35"/>
  <c r="AC89" i="35"/>
  <c r="AJ67" i="35"/>
  <c r="AC116" i="35"/>
  <c r="AY116" i="35" s="1"/>
  <c r="G92" i="35"/>
  <c r="AY48" i="35"/>
  <c r="N70" i="35"/>
  <c r="H97" i="35"/>
  <c r="AD113" i="35"/>
  <c r="AZ113" i="35" s="1"/>
  <c r="AK68" i="35"/>
  <c r="AC47" i="35"/>
  <c r="AC114" i="35" s="1"/>
  <c r="AY114" i="35" s="1"/>
  <c r="AD125" i="35"/>
  <c r="AZ125" i="35" s="1"/>
  <c r="P77" i="35"/>
  <c r="I58" i="35"/>
  <c r="I102" i="35" s="1"/>
  <c r="AE97" i="35"/>
  <c r="AL75" i="35"/>
  <c r="AD90" i="35"/>
  <c r="H89" i="35"/>
  <c r="O67" i="35"/>
  <c r="H49" i="35"/>
  <c r="I99" i="35"/>
  <c r="AC94" i="35"/>
  <c r="G95" i="35"/>
  <c r="N73" i="35"/>
  <c r="AY51" i="35"/>
  <c r="AE120" i="35"/>
  <c r="AD43" i="35"/>
  <c r="AK65" i="35" s="1"/>
  <c r="H100" i="35"/>
  <c r="O78" i="35"/>
  <c r="AZ56" i="35"/>
  <c r="H112" i="35"/>
  <c r="AZ121" i="35" l="1"/>
  <c r="AZ57" i="35"/>
  <c r="AY119" i="35"/>
  <c r="AY117" i="35"/>
  <c r="AD48" i="35"/>
  <c r="AK70" i="35" s="1"/>
  <c r="AD95" i="35"/>
  <c r="AE51" i="35" s="1"/>
  <c r="AL73" i="35" s="1"/>
  <c r="AD118" i="35"/>
  <c r="AD92" i="35"/>
  <c r="J58" i="35"/>
  <c r="J102" i="35" s="1"/>
  <c r="AD45" i="35"/>
  <c r="AE58" i="35"/>
  <c r="AE56" i="35"/>
  <c r="AL78" i="35" s="1"/>
  <c r="I56" i="35"/>
  <c r="I100" i="35" s="1"/>
  <c r="AD50" i="35"/>
  <c r="AK72" i="35" s="1"/>
  <c r="H50" i="35"/>
  <c r="H94" i="35" s="1"/>
  <c r="AK66" i="35"/>
  <c r="AZ44" i="35"/>
  <c r="I57" i="35"/>
  <c r="I101" i="35" s="1"/>
  <c r="AD119" i="35"/>
  <c r="H52" i="35"/>
  <c r="H96" i="35" s="1"/>
  <c r="J55" i="35"/>
  <c r="J99" i="35" s="1"/>
  <c r="I53" i="35"/>
  <c r="I120" i="35" s="1"/>
  <c r="BA120" i="35" s="1"/>
  <c r="AD88" i="35"/>
  <c r="AD96" i="35"/>
  <c r="I43" i="35"/>
  <c r="AD110" i="35"/>
  <c r="AZ110" i="35" s="1"/>
  <c r="O71" i="35"/>
  <c r="I45" i="35"/>
  <c r="I112" i="35" s="1"/>
  <c r="AD124" i="35"/>
  <c r="AZ124" i="35" s="1"/>
  <c r="AD111" i="35"/>
  <c r="AZ111" i="35" s="1"/>
  <c r="AD122" i="35"/>
  <c r="AZ122" i="35" s="1"/>
  <c r="AK77" i="35"/>
  <c r="AZ55" i="35"/>
  <c r="J46" i="35"/>
  <c r="H51" i="35"/>
  <c r="H118" i="35" s="1"/>
  <c r="AD87" i="35"/>
  <c r="H116" i="35"/>
  <c r="AE46" i="35"/>
  <c r="AL68" i="35" s="1"/>
  <c r="AD101" i="35"/>
  <c r="AD49" i="35"/>
  <c r="AK71" i="35" s="1"/>
  <c r="AZ43" i="35"/>
  <c r="AD99" i="35"/>
  <c r="AE54" i="35"/>
  <c r="AL76" i="35" s="1"/>
  <c r="I125" i="35"/>
  <c r="P80" i="35"/>
  <c r="H93" i="35"/>
  <c r="AJ69" i="35"/>
  <c r="AY47" i="35"/>
  <c r="H48" i="35"/>
  <c r="I47" i="35"/>
  <c r="I111" i="35"/>
  <c r="P66" i="35"/>
  <c r="I121" i="35"/>
  <c r="P76" i="35"/>
  <c r="AF53" i="35"/>
  <c r="AM75" i="35" s="1"/>
  <c r="AC91" i="35"/>
  <c r="I113" i="35"/>
  <c r="P68" i="35"/>
  <c r="I88" i="35"/>
  <c r="I98" i="35"/>
  <c r="AZ118" i="35" l="1"/>
  <c r="AD117" i="35"/>
  <c r="BA46" i="35"/>
  <c r="J125" i="35"/>
  <c r="AD94" i="35"/>
  <c r="AE48" i="35"/>
  <c r="AL70" i="35" s="1"/>
  <c r="AE113" i="35"/>
  <c r="BA113" i="35" s="1"/>
  <c r="AD115" i="35"/>
  <c r="AE118" i="35"/>
  <c r="AD93" i="35"/>
  <c r="AE49" i="35" s="1"/>
  <c r="AL71" i="35" s="1"/>
  <c r="AE100" i="35"/>
  <c r="AF56" i="35" s="1"/>
  <c r="AM78" i="35" s="1"/>
  <c r="I89" i="35"/>
  <c r="P67" i="35"/>
  <c r="AE52" i="35"/>
  <c r="I52" i="35"/>
  <c r="I50" i="35"/>
  <c r="I117" i="35" s="1"/>
  <c r="AE57" i="35"/>
  <c r="BA57" i="35" s="1"/>
  <c r="J90" i="35"/>
  <c r="Q68" i="35"/>
  <c r="AE44" i="35"/>
  <c r="AE102" i="35"/>
  <c r="AL80" i="35"/>
  <c r="AE98" i="35"/>
  <c r="J113" i="35"/>
  <c r="AZ49" i="35"/>
  <c r="I97" i="35"/>
  <c r="P75" i="35"/>
  <c r="BA53" i="35"/>
  <c r="P79" i="35"/>
  <c r="AE50" i="35"/>
  <c r="AE125" i="35"/>
  <c r="BA125" i="35" s="1"/>
  <c r="J44" i="35"/>
  <c r="AF120" i="35"/>
  <c r="I114" i="35"/>
  <c r="P69" i="35"/>
  <c r="BA58" i="35"/>
  <c r="AE121" i="35"/>
  <c r="BA121" i="35" s="1"/>
  <c r="J57" i="35"/>
  <c r="J101" i="35" s="1"/>
  <c r="AD89" i="35"/>
  <c r="AK67" i="35"/>
  <c r="AZ45" i="35"/>
  <c r="AD47" i="35"/>
  <c r="AD114" i="35" s="1"/>
  <c r="AZ114" i="35" s="1"/>
  <c r="AF97" i="35"/>
  <c r="I91" i="35"/>
  <c r="AE55" i="35"/>
  <c r="AE99" i="35" s="1"/>
  <c r="AE90" i="35"/>
  <c r="J122" i="35"/>
  <c r="Q77" i="35"/>
  <c r="I124" i="35"/>
  <c r="I123" i="35"/>
  <c r="P78" i="35"/>
  <c r="BA56" i="35"/>
  <c r="AD112" i="35"/>
  <c r="AZ112" i="35" s="1"/>
  <c r="H92" i="35"/>
  <c r="AZ48" i="35"/>
  <c r="O70" i="35"/>
  <c r="P65" i="35"/>
  <c r="K55" i="35"/>
  <c r="J56" i="35"/>
  <c r="J100" i="35" s="1"/>
  <c r="K58" i="35"/>
  <c r="K125" i="35" s="1"/>
  <c r="I49" i="35"/>
  <c r="I116" i="35" s="1"/>
  <c r="AE43" i="35"/>
  <c r="AL65" i="35" s="1"/>
  <c r="I110" i="35"/>
  <c r="J54" i="35"/>
  <c r="J98" i="35" s="1"/>
  <c r="BA54" i="35"/>
  <c r="H115" i="35"/>
  <c r="AE95" i="35"/>
  <c r="AD116" i="35"/>
  <c r="AZ116" i="35" s="1"/>
  <c r="H95" i="35"/>
  <c r="O73" i="35"/>
  <c r="AZ51" i="35"/>
  <c r="I87" i="35"/>
  <c r="H119" i="35"/>
  <c r="AZ119" i="35" s="1"/>
  <c r="O74" i="35"/>
  <c r="AZ52" i="35"/>
  <c r="H117" i="35"/>
  <c r="AZ117" i="35" s="1"/>
  <c r="O72" i="35"/>
  <c r="AZ50" i="35"/>
  <c r="AE123" i="35"/>
  <c r="Q80" i="35"/>
  <c r="AE115" i="35" l="1"/>
  <c r="BA123" i="35"/>
  <c r="AZ115" i="35"/>
  <c r="I93" i="35"/>
  <c r="J49" i="35" s="1"/>
  <c r="AE92" i="35"/>
  <c r="AF48" i="35" s="1"/>
  <c r="AM70" i="35" s="1"/>
  <c r="AE122" i="35"/>
  <c r="BA122" i="35" s="1"/>
  <c r="AE87" i="35"/>
  <c r="AF43" i="35" s="1"/>
  <c r="AM65" i="35" s="1"/>
  <c r="BA43" i="35"/>
  <c r="K54" i="35"/>
  <c r="J43" i="35"/>
  <c r="AF55" i="35"/>
  <c r="AF122" i="35" s="1"/>
  <c r="BB122" i="35" s="1"/>
  <c r="AE45" i="35"/>
  <c r="J45" i="35"/>
  <c r="J112" i="35" s="1"/>
  <c r="K102" i="35"/>
  <c r="R80" i="35"/>
  <c r="J47" i="35"/>
  <c r="J124" i="35"/>
  <c r="Q79" i="35"/>
  <c r="AF58" i="35"/>
  <c r="K46" i="35"/>
  <c r="P74" i="35"/>
  <c r="BA52" i="35"/>
  <c r="AG53" i="35"/>
  <c r="AN75" i="35" s="1"/>
  <c r="K57" i="35"/>
  <c r="K101" i="35" s="1"/>
  <c r="J88" i="35"/>
  <c r="Q66" i="35"/>
  <c r="AE101" i="35"/>
  <c r="AL79" i="35"/>
  <c r="I119" i="35"/>
  <c r="AE93" i="35"/>
  <c r="I51" i="35"/>
  <c r="J123" i="35"/>
  <c r="Q78" i="35"/>
  <c r="BB56" i="35"/>
  <c r="AK69" i="35"/>
  <c r="AZ47" i="35"/>
  <c r="J111" i="35"/>
  <c r="J53" i="35"/>
  <c r="AE124" i="35"/>
  <c r="BA124" i="35" s="1"/>
  <c r="I96" i="35"/>
  <c r="AE116" i="35"/>
  <c r="BA116" i="35" s="1"/>
  <c r="I48" i="35"/>
  <c r="I92" i="35" s="1"/>
  <c r="AL66" i="35"/>
  <c r="BA44" i="35"/>
  <c r="AE96" i="35"/>
  <c r="AL74" i="35"/>
  <c r="I94" i="35"/>
  <c r="P72" i="35"/>
  <c r="BA50" i="35"/>
  <c r="AF51" i="35"/>
  <c r="AM73" i="35" s="1"/>
  <c r="AE110" i="35"/>
  <c r="BA110" i="35" s="1"/>
  <c r="K99" i="35"/>
  <c r="R77" i="35"/>
  <c r="AF46" i="35"/>
  <c r="AF113" i="35" s="1"/>
  <c r="BB113" i="35" s="1"/>
  <c r="AD91" i="35"/>
  <c r="AE94" i="35"/>
  <c r="AL72" i="35"/>
  <c r="AE88" i="35"/>
  <c r="AF100" i="35"/>
  <c r="AE119" i="35"/>
  <c r="AF115" i="35"/>
  <c r="J121" i="35"/>
  <c r="Q76" i="35"/>
  <c r="K56" i="35"/>
  <c r="P71" i="35"/>
  <c r="BA49" i="35"/>
  <c r="K122" i="35"/>
  <c r="AL77" i="35"/>
  <c r="BA55" i="35"/>
  <c r="AE117" i="35"/>
  <c r="BA117" i="35" s="1"/>
  <c r="AF54" i="35"/>
  <c r="AE111" i="35"/>
  <c r="BA111" i="35" s="1"/>
  <c r="AF123" i="35"/>
  <c r="AF92" i="35" l="1"/>
  <c r="I115" i="35"/>
  <c r="BA115" i="35" s="1"/>
  <c r="BA119" i="35"/>
  <c r="AF87" i="35"/>
  <c r="AF110" i="35"/>
  <c r="Q75" i="35"/>
  <c r="BB53" i="35"/>
  <c r="AF121" i="35"/>
  <c r="BB121" i="35" s="1"/>
  <c r="AM76" i="35"/>
  <c r="R78" i="35"/>
  <c r="J48" i="35"/>
  <c r="J92" i="35" s="1"/>
  <c r="J120" i="35"/>
  <c r="BB120" i="35" s="1"/>
  <c r="I118" i="35"/>
  <c r="BA118" i="35" s="1"/>
  <c r="P73" i="35"/>
  <c r="BA51" i="35"/>
  <c r="K44" i="35"/>
  <c r="K111" i="35" s="1"/>
  <c r="K90" i="35"/>
  <c r="R68" i="35"/>
  <c r="J89" i="35"/>
  <c r="J116" i="35"/>
  <c r="Q71" i="35"/>
  <c r="AF98" i="35"/>
  <c r="K100" i="35"/>
  <c r="AG56" i="35"/>
  <c r="BC56" i="35" s="1"/>
  <c r="J50" i="35"/>
  <c r="J97" i="35"/>
  <c r="I95" i="35"/>
  <c r="K124" i="35"/>
  <c r="R79" i="35"/>
  <c r="K113" i="35"/>
  <c r="J91" i="35"/>
  <c r="Q69" i="35"/>
  <c r="J93" i="35"/>
  <c r="Q67" i="35"/>
  <c r="K123" i="35"/>
  <c r="AF44" i="35"/>
  <c r="AF88" i="35" s="1"/>
  <c r="L55" i="35"/>
  <c r="AF49" i="35"/>
  <c r="AM71" i="35" s="1"/>
  <c r="L57" i="35"/>
  <c r="AM80" i="35"/>
  <c r="BB58" i="35"/>
  <c r="J114" i="35"/>
  <c r="J87" i="35"/>
  <c r="Q65" i="35"/>
  <c r="BB43" i="35"/>
  <c r="AF52" i="35"/>
  <c r="AM74" i="35" s="1"/>
  <c r="AG43" i="35"/>
  <c r="AN65" i="35" s="1"/>
  <c r="AF102" i="35"/>
  <c r="AE89" i="35"/>
  <c r="AL67" i="35"/>
  <c r="BA45" i="35"/>
  <c r="J110" i="35"/>
  <c r="AG97" i="35"/>
  <c r="AF125" i="35"/>
  <c r="BB125" i="35" s="1"/>
  <c r="AE112" i="35"/>
  <c r="BA112" i="35" s="1"/>
  <c r="R76" i="35"/>
  <c r="AE47" i="35"/>
  <c r="AF95" i="35"/>
  <c r="J52" i="35"/>
  <c r="J119" i="35" s="1"/>
  <c r="AF57" i="35"/>
  <c r="AG120" i="35"/>
  <c r="L58" i="35"/>
  <c r="L102" i="35" s="1"/>
  <c r="AM77" i="35"/>
  <c r="BB55" i="35"/>
  <c r="K121" i="35"/>
  <c r="BB54" i="35"/>
  <c r="AF50" i="35"/>
  <c r="AM72" i="35" s="1"/>
  <c r="AG48" i="35"/>
  <c r="AN70" i="35" s="1"/>
  <c r="BB123" i="35"/>
  <c r="AF90" i="35"/>
  <c r="AM68" i="35"/>
  <c r="BB46" i="35"/>
  <c r="AF118" i="35"/>
  <c r="P70" i="35"/>
  <c r="BA48" i="35"/>
  <c r="AF99" i="35"/>
  <c r="K98" i="35"/>
  <c r="BB110" i="35" l="1"/>
  <c r="AF93" i="35"/>
  <c r="AG115" i="35"/>
  <c r="BB49" i="35"/>
  <c r="M58" i="35"/>
  <c r="K48" i="35"/>
  <c r="AG87" i="35"/>
  <c r="AG54" i="35"/>
  <c r="AG121" i="35" s="1"/>
  <c r="BC121" i="35" s="1"/>
  <c r="L46" i="35"/>
  <c r="AG55" i="35"/>
  <c r="AG92" i="35"/>
  <c r="AG51" i="35"/>
  <c r="AN73" i="35" s="1"/>
  <c r="AH53" i="35"/>
  <c r="AG110" i="35"/>
  <c r="K49" i="35"/>
  <c r="K93" i="35" s="1"/>
  <c r="J51" i="35"/>
  <c r="J118" i="35" s="1"/>
  <c r="BB118" i="35" s="1"/>
  <c r="K88" i="35"/>
  <c r="R66" i="35"/>
  <c r="AG49" i="35"/>
  <c r="AG93" i="35" s="1"/>
  <c r="AL69" i="35"/>
  <c r="BA47" i="35"/>
  <c r="L99" i="35"/>
  <c r="S77" i="35"/>
  <c r="K53" i="35"/>
  <c r="K97" i="35" s="1"/>
  <c r="J115" i="35"/>
  <c r="BB115" i="35" s="1"/>
  <c r="Q70" i="35"/>
  <c r="BB48" i="35"/>
  <c r="AE114" i="35"/>
  <c r="BA114" i="35" s="1"/>
  <c r="AF119" i="35"/>
  <c r="BB119" i="35" s="1"/>
  <c r="L124" i="35"/>
  <c r="S79" i="35"/>
  <c r="L122" i="35"/>
  <c r="J94" i="35"/>
  <c r="Q72" i="35"/>
  <c r="BB50" i="35"/>
  <c r="J96" i="35"/>
  <c r="Q74" i="35"/>
  <c r="BB52" i="35"/>
  <c r="L56" i="35"/>
  <c r="L100" i="35" s="1"/>
  <c r="AF94" i="35"/>
  <c r="AE91" i="35"/>
  <c r="AF96" i="35"/>
  <c r="L101" i="35"/>
  <c r="AG44" i="35"/>
  <c r="AN66" i="35" s="1"/>
  <c r="K47" i="35"/>
  <c r="J117" i="35"/>
  <c r="K43" i="35"/>
  <c r="L125" i="35"/>
  <c r="S80" i="35"/>
  <c r="AF117" i="35"/>
  <c r="AF45" i="35"/>
  <c r="AF111" i="35"/>
  <c r="BB111" i="35" s="1"/>
  <c r="AM66" i="35"/>
  <c r="BB44" i="35"/>
  <c r="AG100" i="35"/>
  <c r="AN78" i="35"/>
  <c r="K45" i="35"/>
  <c r="K112" i="35" s="1"/>
  <c r="L54" i="35"/>
  <c r="L121" i="35" s="1"/>
  <c r="AF101" i="35"/>
  <c r="AM79" i="35"/>
  <c r="BB57" i="35"/>
  <c r="AG46" i="35"/>
  <c r="AG90" i="35" s="1"/>
  <c r="AF124" i="35"/>
  <c r="BB124" i="35" s="1"/>
  <c r="AG58" i="35"/>
  <c r="AF116" i="35"/>
  <c r="BB116" i="35" s="1"/>
  <c r="AG123" i="35"/>
  <c r="BC123" i="35" s="1"/>
  <c r="BB117" i="35" l="1"/>
  <c r="AG95" i="35"/>
  <c r="AG118" i="35"/>
  <c r="AG111" i="35"/>
  <c r="BC111" i="35" s="1"/>
  <c r="AG88" i="35"/>
  <c r="L49" i="35"/>
  <c r="M56" i="35"/>
  <c r="AH44" i="35"/>
  <c r="K116" i="35"/>
  <c r="AH51" i="35"/>
  <c r="AO73" i="35" s="1"/>
  <c r="R65" i="35"/>
  <c r="BC43" i="35"/>
  <c r="R75" i="35"/>
  <c r="BC53" i="35"/>
  <c r="AG116" i="35"/>
  <c r="AN71" i="35"/>
  <c r="AH48" i="35"/>
  <c r="AO70" i="35" s="1"/>
  <c r="AH43" i="35"/>
  <c r="AO65" i="35" s="1"/>
  <c r="M57" i="35"/>
  <c r="M124" i="35" s="1"/>
  <c r="L53" i="35"/>
  <c r="AG122" i="35"/>
  <c r="BC122" i="35" s="1"/>
  <c r="AN77" i="35"/>
  <c r="BC55" i="35"/>
  <c r="R70" i="35"/>
  <c r="BC48" i="35"/>
  <c r="AG57" i="35"/>
  <c r="AF112" i="35"/>
  <c r="BB112" i="35" s="1"/>
  <c r="AM67" i="35"/>
  <c r="BB45" i="35"/>
  <c r="AG52" i="35"/>
  <c r="AG119" i="35" s="1"/>
  <c r="K52" i="35"/>
  <c r="K120" i="35"/>
  <c r="BC120" i="35" s="1"/>
  <c r="AG99" i="35"/>
  <c r="K115" i="35"/>
  <c r="BC115" i="35" s="1"/>
  <c r="AH56" i="35"/>
  <c r="AO78" i="35" s="1"/>
  <c r="AG125" i="35"/>
  <c r="BC125" i="35" s="1"/>
  <c r="AN80" i="35"/>
  <c r="BC58" i="35"/>
  <c r="K110" i="35"/>
  <c r="BC110" i="35" s="1"/>
  <c r="AH49" i="35"/>
  <c r="AO71" i="35" s="1"/>
  <c r="AG102" i="35"/>
  <c r="K87" i="35"/>
  <c r="K89" i="35"/>
  <c r="R67" i="35"/>
  <c r="AF89" i="35"/>
  <c r="AF47" i="35"/>
  <c r="AF114" i="35" s="1"/>
  <c r="BB114" i="35" s="1"/>
  <c r="BC44" i="35"/>
  <c r="AH120" i="35"/>
  <c r="AO75" i="35"/>
  <c r="L90" i="35"/>
  <c r="S68" i="35"/>
  <c r="K92" i="35"/>
  <c r="L123" i="35"/>
  <c r="S78" i="35"/>
  <c r="BD56" i="35"/>
  <c r="L98" i="35"/>
  <c r="S76" i="35"/>
  <c r="R71" i="35"/>
  <c r="BC49" i="35"/>
  <c r="AG113" i="35"/>
  <c r="BC113" i="35" s="1"/>
  <c r="AN68" i="35"/>
  <c r="BC46" i="35"/>
  <c r="K91" i="35"/>
  <c r="R69" i="35"/>
  <c r="L44" i="35"/>
  <c r="AH97" i="35"/>
  <c r="L113" i="35"/>
  <c r="M102" i="35"/>
  <c r="T80" i="35"/>
  <c r="AH46" i="35"/>
  <c r="BD46" i="35" s="1"/>
  <c r="K114" i="35"/>
  <c r="AG50" i="35"/>
  <c r="AG94" i="35" s="1"/>
  <c r="K50" i="35"/>
  <c r="M55" i="35"/>
  <c r="J95" i="35"/>
  <c r="BB51" i="35"/>
  <c r="Q73" i="35"/>
  <c r="AG98" i="35"/>
  <c r="AN76" i="35"/>
  <c r="BC54" i="35"/>
  <c r="M125" i="35"/>
  <c r="AF91" i="35" l="1"/>
  <c r="AG47" i="35" s="1"/>
  <c r="AH100" i="35"/>
  <c r="AH123" i="35"/>
  <c r="BD123" i="35" s="1"/>
  <c r="AH110" i="35"/>
  <c r="AH92" i="35"/>
  <c r="AH90" i="35"/>
  <c r="AI46" i="35" s="1"/>
  <c r="AP68" i="35" s="1"/>
  <c r="L111" i="35"/>
  <c r="BD44" i="35"/>
  <c r="S66" i="35"/>
  <c r="AH93" i="35"/>
  <c r="AH88" i="35"/>
  <c r="AO66" i="35"/>
  <c r="K51" i="35"/>
  <c r="L48" i="35"/>
  <c r="AI56" i="35"/>
  <c r="AI123" i="35" s="1"/>
  <c r="BC116" i="35"/>
  <c r="T77" i="35"/>
  <c r="M122" i="35"/>
  <c r="AH113" i="35"/>
  <c r="BD113" i="35" s="1"/>
  <c r="AO68" i="35"/>
  <c r="L88" i="35"/>
  <c r="AG45" i="35"/>
  <c r="AG89" i="35" s="1"/>
  <c r="AH116" i="35"/>
  <c r="AH87" i="35"/>
  <c r="AH111" i="35"/>
  <c r="AH50" i="35"/>
  <c r="T78" i="35"/>
  <c r="AG96" i="35"/>
  <c r="AN74" i="35"/>
  <c r="M99" i="35"/>
  <c r="M46" i="35"/>
  <c r="R72" i="35"/>
  <c r="BC50" i="35"/>
  <c r="M54" i="35"/>
  <c r="L120" i="35"/>
  <c r="BD120" i="35" s="1"/>
  <c r="S75" i="35"/>
  <c r="BD53" i="35"/>
  <c r="M100" i="35"/>
  <c r="L47" i="35"/>
  <c r="AH54" i="35"/>
  <c r="K117" i="35"/>
  <c r="L45" i="35"/>
  <c r="AG101" i="35"/>
  <c r="AN79" i="35"/>
  <c r="BC57" i="35"/>
  <c r="L97" i="35"/>
  <c r="M123" i="35"/>
  <c r="AI53" i="35"/>
  <c r="AP75" i="35" s="1"/>
  <c r="K94" i="35"/>
  <c r="N58" i="35"/>
  <c r="L43" i="35"/>
  <c r="L110" i="35" s="1"/>
  <c r="K119" i="35"/>
  <c r="BC119" i="35" s="1"/>
  <c r="R74" i="35"/>
  <c r="BC52" i="35"/>
  <c r="AG124" i="35"/>
  <c r="BC124" i="35" s="1"/>
  <c r="T79" i="35"/>
  <c r="AH115" i="35"/>
  <c r="AH95" i="35"/>
  <c r="L93" i="35"/>
  <c r="S71" i="35"/>
  <c r="BD49" i="35"/>
  <c r="AH55" i="35"/>
  <c r="AG117" i="35"/>
  <c r="BC117" i="35" s="1"/>
  <c r="AN72" i="35"/>
  <c r="AM69" i="35"/>
  <c r="BB47" i="35"/>
  <c r="AH58" i="35"/>
  <c r="AH125" i="35" s="1"/>
  <c r="BD125" i="35" s="1"/>
  <c r="K96" i="35"/>
  <c r="M101" i="35"/>
  <c r="AH118" i="35"/>
  <c r="L116" i="35"/>
  <c r="AI48" i="35" l="1"/>
  <c r="AP70" i="35" s="1"/>
  <c r="BE123" i="35"/>
  <c r="L91" i="35"/>
  <c r="S69" i="35"/>
  <c r="AI49" i="35"/>
  <c r="N57" i="35"/>
  <c r="N101" i="35" s="1"/>
  <c r="AH99" i="35"/>
  <c r="AO77" i="35"/>
  <c r="BD55" i="35"/>
  <c r="N102" i="35"/>
  <c r="U80" i="35"/>
  <c r="AI120" i="35"/>
  <c r="AH57" i="35"/>
  <c r="AH124" i="35" s="1"/>
  <c r="BD124" i="35" s="1"/>
  <c r="L114" i="35"/>
  <c r="BD110" i="35"/>
  <c r="M44" i="35"/>
  <c r="M88" i="35" s="1"/>
  <c r="AI100" i="35"/>
  <c r="AP78" i="35"/>
  <c r="BC47" i="35"/>
  <c r="AN69" i="35"/>
  <c r="L52" i="35"/>
  <c r="AH122" i="35"/>
  <c r="BD122" i="35" s="1"/>
  <c r="N125" i="35"/>
  <c r="L112" i="35"/>
  <c r="S67" i="35"/>
  <c r="N56" i="35"/>
  <c r="M113" i="35"/>
  <c r="T68" i="35"/>
  <c r="BE46" i="35"/>
  <c r="AH117" i="35"/>
  <c r="AO72" i="35"/>
  <c r="L92" i="35"/>
  <c r="BD48" i="35"/>
  <c r="S70" i="35"/>
  <c r="AG114" i="35"/>
  <c r="BC114" i="35" s="1"/>
  <c r="AH45" i="35"/>
  <c r="AO67" i="35" s="1"/>
  <c r="L50" i="35"/>
  <c r="L94" i="35" s="1"/>
  <c r="L89" i="35"/>
  <c r="M90" i="35"/>
  <c r="AH94" i="35"/>
  <c r="L115" i="35"/>
  <c r="BD115" i="35" s="1"/>
  <c r="AG91" i="35"/>
  <c r="AH102" i="35"/>
  <c r="AO80" i="35"/>
  <c r="BD58" i="35"/>
  <c r="N55" i="35"/>
  <c r="N99" i="35" s="1"/>
  <c r="K95" i="35"/>
  <c r="R73" i="35"/>
  <c r="BC51" i="35"/>
  <c r="M49" i="35"/>
  <c r="AI113" i="35"/>
  <c r="BE113" i="35" s="1"/>
  <c r="AI115" i="35"/>
  <c r="AI43" i="35"/>
  <c r="AI87" i="35" s="1"/>
  <c r="K118" i="35"/>
  <c r="BC118" i="35" s="1"/>
  <c r="AI51" i="35"/>
  <c r="AP73" i="35" s="1"/>
  <c r="S65" i="35"/>
  <c r="BD43" i="35"/>
  <c r="AI90" i="35"/>
  <c r="M53" i="35"/>
  <c r="AH98" i="35"/>
  <c r="AO76" i="35"/>
  <c r="BD54" i="35"/>
  <c r="M121" i="35"/>
  <c r="T76" i="35"/>
  <c r="AH52" i="35"/>
  <c r="BD116" i="35"/>
  <c r="BD111" i="35"/>
  <c r="L87" i="35"/>
  <c r="AI97" i="35"/>
  <c r="AH121" i="35"/>
  <c r="BD121" i="35" s="1"/>
  <c r="M98" i="35"/>
  <c r="BE56" i="35"/>
  <c r="AG112" i="35"/>
  <c r="BC112" i="35" s="1"/>
  <c r="AN67" i="35"/>
  <c r="BC45" i="35"/>
  <c r="AI44" i="35"/>
  <c r="AP66" i="35" s="1"/>
  <c r="AI110" i="35" l="1"/>
  <c r="AH112" i="35"/>
  <c r="BD112" i="35" s="1"/>
  <c r="AH89" i="35"/>
  <c r="BD45" i="35"/>
  <c r="AI92" i="35"/>
  <c r="AJ48" i="35" s="1"/>
  <c r="AQ70" i="35" s="1"/>
  <c r="AI88" i="35"/>
  <c r="AJ44" i="35" s="1"/>
  <c r="N122" i="35"/>
  <c r="M111" i="35"/>
  <c r="AI95" i="35"/>
  <c r="AJ51" i="35" s="1"/>
  <c r="O57" i="35"/>
  <c r="O101" i="35" s="1"/>
  <c r="M50" i="35"/>
  <c r="O55" i="35"/>
  <c r="O99" i="35" s="1"/>
  <c r="AI45" i="35"/>
  <c r="AP67" i="35" s="1"/>
  <c r="N124" i="35"/>
  <c r="AI54" i="35"/>
  <c r="AI98" i="35" s="1"/>
  <c r="M93" i="35"/>
  <c r="T71" i="35"/>
  <c r="BE49" i="35"/>
  <c r="AI50" i="35"/>
  <c r="AI117" i="35" s="1"/>
  <c r="S74" i="35"/>
  <c r="BD52" i="35"/>
  <c r="N44" i="35"/>
  <c r="N111" i="35" s="1"/>
  <c r="AJ56" i="35"/>
  <c r="BF56" i="35" s="1"/>
  <c r="AH119" i="35"/>
  <c r="AO74" i="35"/>
  <c r="M97" i="35"/>
  <c r="T75" i="35"/>
  <c r="BE53" i="35"/>
  <c r="AI118" i="35"/>
  <c r="M116" i="35"/>
  <c r="N46" i="35"/>
  <c r="N90" i="35" s="1"/>
  <c r="N100" i="35"/>
  <c r="U78" i="35"/>
  <c r="L119" i="35"/>
  <c r="T66" i="35"/>
  <c r="BE44" i="35"/>
  <c r="AI93" i="35"/>
  <c r="AP71" i="35"/>
  <c r="AH47" i="35"/>
  <c r="AH91" i="35" s="1"/>
  <c r="AH96" i="35"/>
  <c r="M120" i="35"/>
  <c r="BE120" i="35" s="1"/>
  <c r="M45" i="35"/>
  <c r="M89" i="35" s="1"/>
  <c r="N123" i="35"/>
  <c r="L96" i="35"/>
  <c r="O58" i="35"/>
  <c r="O125" i="35" s="1"/>
  <c r="AI116" i="35"/>
  <c r="U79" i="35"/>
  <c r="N54" i="35"/>
  <c r="N98" i="35" s="1"/>
  <c r="AJ46" i="35"/>
  <c r="AJ113" i="35" s="1"/>
  <c r="AJ43" i="35"/>
  <c r="AJ110" i="35" s="1"/>
  <c r="M48" i="35"/>
  <c r="M92" i="35" s="1"/>
  <c r="L117" i="35"/>
  <c r="BD117" i="35" s="1"/>
  <c r="S72" i="35"/>
  <c r="BD50" i="35"/>
  <c r="AO79" i="35"/>
  <c r="BD57" i="35"/>
  <c r="M43" i="35"/>
  <c r="M110" i="35" s="1"/>
  <c r="L51" i="35"/>
  <c r="AI111" i="35"/>
  <c r="AJ53" i="35"/>
  <c r="AQ75" i="35" s="1"/>
  <c r="AP65" i="35"/>
  <c r="U77" i="35"/>
  <c r="AI58" i="35"/>
  <c r="AI102" i="35" s="1"/>
  <c r="AH101" i="35"/>
  <c r="AI55" i="35"/>
  <c r="AI99" i="35" s="1"/>
  <c r="M47" i="35"/>
  <c r="M114" i="35" s="1"/>
  <c r="AI122" i="35" l="1"/>
  <c r="BE122" i="35" s="1"/>
  <c r="AJ92" i="35"/>
  <c r="AJ120" i="35"/>
  <c r="BD119" i="35"/>
  <c r="BE111" i="35"/>
  <c r="AJ115" i="35"/>
  <c r="AQ73" i="35"/>
  <c r="AJ118" i="35"/>
  <c r="AJ123" i="35"/>
  <c r="BF123" i="35" s="1"/>
  <c r="BE116" i="35"/>
  <c r="AI112" i="35"/>
  <c r="BE110" i="35"/>
  <c r="N45" i="35"/>
  <c r="O46" i="35"/>
  <c r="AJ54" i="35"/>
  <c r="AJ121" i="35" s="1"/>
  <c r="AK48" i="35"/>
  <c r="AR70" i="35" s="1"/>
  <c r="AJ88" i="35"/>
  <c r="AQ66" i="35"/>
  <c r="P55" i="35"/>
  <c r="P122" i="35" s="1"/>
  <c r="AJ58" i="35"/>
  <c r="AJ125" i="35" s="1"/>
  <c r="BF125" i="35" s="1"/>
  <c r="M91" i="35"/>
  <c r="T69" i="35"/>
  <c r="AI125" i="35"/>
  <c r="BE125" i="35" s="1"/>
  <c r="AP80" i="35"/>
  <c r="BE58" i="35"/>
  <c r="AJ87" i="35"/>
  <c r="AQ65" i="35"/>
  <c r="O102" i="35"/>
  <c r="V80" i="35"/>
  <c r="AJ100" i="35"/>
  <c r="AQ78" i="35"/>
  <c r="AJ111" i="35"/>
  <c r="BF111" i="35" s="1"/>
  <c r="O122" i="35"/>
  <c r="V77" i="35"/>
  <c r="L95" i="35"/>
  <c r="BD51" i="35"/>
  <c r="S73" i="35"/>
  <c r="AI52" i="35"/>
  <c r="AP74" i="35" s="1"/>
  <c r="N49" i="35"/>
  <c r="N116" i="35" s="1"/>
  <c r="M117" i="35"/>
  <c r="BE117" i="35" s="1"/>
  <c r="T72" i="35"/>
  <c r="BE50" i="35"/>
  <c r="N48" i="35"/>
  <c r="N92" i="35" s="1"/>
  <c r="AJ49" i="35"/>
  <c r="AJ116" i="35" s="1"/>
  <c r="L118" i="35"/>
  <c r="BD118" i="35" s="1"/>
  <c r="AJ90" i="35"/>
  <c r="AQ68" i="35"/>
  <c r="M52" i="35"/>
  <c r="M119" i="35" s="1"/>
  <c r="AO69" i="35"/>
  <c r="BD47" i="35"/>
  <c r="N88" i="35"/>
  <c r="U66" i="35"/>
  <c r="BF44" i="35"/>
  <c r="M94" i="35"/>
  <c r="N121" i="35"/>
  <c r="U76" i="35"/>
  <c r="AH114" i="35"/>
  <c r="BD114" i="35" s="1"/>
  <c r="AJ95" i="35"/>
  <c r="V79" i="35"/>
  <c r="AJ55" i="35"/>
  <c r="AJ122" i="35" s="1"/>
  <c r="BF122" i="35" s="1"/>
  <c r="AP77" i="35"/>
  <c r="BE55" i="35"/>
  <c r="O54" i="35"/>
  <c r="O98" i="35" s="1"/>
  <c r="T67" i="35"/>
  <c r="BE45" i="35"/>
  <c r="O56" i="35"/>
  <c r="O123" i="35" s="1"/>
  <c r="N53" i="35"/>
  <c r="P57" i="35"/>
  <c r="P101" i="35" s="1"/>
  <c r="T65" i="35"/>
  <c r="BE43" i="35"/>
  <c r="AI47" i="35"/>
  <c r="BE47" i="35" s="1"/>
  <c r="AI57" i="35"/>
  <c r="AJ97" i="35"/>
  <c r="M87" i="35"/>
  <c r="M115" i="35"/>
  <c r="BE115" i="35" s="1"/>
  <c r="T70" i="35"/>
  <c r="BE48" i="35"/>
  <c r="M112" i="35"/>
  <c r="BE112" i="35" s="1"/>
  <c r="N113" i="35"/>
  <c r="BF113" i="35" s="1"/>
  <c r="U68" i="35"/>
  <c r="BF46" i="35"/>
  <c r="AI94" i="35"/>
  <c r="AP72" i="35"/>
  <c r="AI121" i="35"/>
  <c r="BE121" i="35" s="1"/>
  <c r="AP76" i="35"/>
  <c r="BE54" i="35"/>
  <c r="AI89" i="35"/>
  <c r="O124" i="35"/>
  <c r="O121" i="35" l="1"/>
  <c r="M96" i="35"/>
  <c r="N93" i="35"/>
  <c r="BF121" i="35"/>
  <c r="P124" i="35"/>
  <c r="BF54" i="35"/>
  <c r="AI96" i="35"/>
  <c r="AJ52" i="35" s="1"/>
  <c r="AQ74" i="35" s="1"/>
  <c r="AK115" i="35"/>
  <c r="AK92" i="35"/>
  <c r="AL48" i="35" s="1"/>
  <c r="AS70" i="35" s="1"/>
  <c r="O100" i="35"/>
  <c r="O48" i="35"/>
  <c r="O92" i="35" s="1"/>
  <c r="BF116" i="35"/>
  <c r="O113" i="35"/>
  <c r="V68" i="35"/>
  <c r="AJ50" i="35"/>
  <c r="AJ117" i="35" s="1"/>
  <c r="N43" i="35"/>
  <c r="N87" i="35" s="1"/>
  <c r="T74" i="35"/>
  <c r="BE52" i="35"/>
  <c r="M51" i="35"/>
  <c r="M118" i="35" s="1"/>
  <c r="BE118" i="35" s="1"/>
  <c r="O90" i="35"/>
  <c r="AK53" i="35"/>
  <c r="AK120" i="35" s="1"/>
  <c r="V78" i="35"/>
  <c r="N52" i="35"/>
  <c r="N96" i="35" s="1"/>
  <c r="N115" i="35"/>
  <c r="BF115" i="35" s="1"/>
  <c r="U70" i="35"/>
  <c r="BF48" i="35"/>
  <c r="P58" i="35"/>
  <c r="N47" i="35"/>
  <c r="U67" i="35"/>
  <c r="AI101" i="35"/>
  <c r="AP79" i="35"/>
  <c r="BE57" i="35"/>
  <c r="AJ99" i="35"/>
  <c r="AQ77" i="35"/>
  <c r="BF55" i="35"/>
  <c r="N50" i="35"/>
  <c r="N94" i="35" s="1"/>
  <c r="N89" i="35"/>
  <c r="AK44" i="35"/>
  <c r="Q57" i="35"/>
  <c r="Q124" i="35" s="1"/>
  <c r="AJ45" i="35"/>
  <c r="AQ67" i="35" s="1"/>
  <c r="AI124" i="35"/>
  <c r="BE124" i="35" s="1"/>
  <c r="W79" i="35"/>
  <c r="AI119" i="35"/>
  <c r="BE119" i="35" s="1"/>
  <c r="AK43" i="35"/>
  <c r="AK87" i="35" s="1"/>
  <c r="AJ102" i="35"/>
  <c r="AQ80" i="35"/>
  <c r="BF58" i="35"/>
  <c r="N112" i="35"/>
  <c r="AI91" i="35"/>
  <c r="AP69" i="35"/>
  <c r="P54" i="35"/>
  <c r="P121" i="35" s="1"/>
  <c r="AK46" i="35"/>
  <c r="BG46" i="35" s="1"/>
  <c r="AI114" i="35"/>
  <c r="BE114" i="35" s="1"/>
  <c r="N120" i="35"/>
  <c r="BF120" i="35" s="1"/>
  <c r="U75" i="35"/>
  <c r="BF53" i="35"/>
  <c r="AK51" i="35"/>
  <c r="AR73" i="35" s="1"/>
  <c r="O44" i="35"/>
  <c r="O111" i="35" s="1"/>
  <c r="P99" i="35"/>
  <c r="W77" i="35"/>
  <c r="AJ98" i="35"/>
  <c r="AQ76" i="35"/>
  <c r="N97" i="35"/>
  <c r="V76" i="35"/>
  <c r="U71" i="35"/>
  <c r="BF49" i="35"/>
  <c r="AK56" i="35"/>
  <c r="AR78" i="35" s="1"/>
  <c r="P56" i="35"/>
  <c r="P123" i="35" s="1"/>
  <c r="AJ93" i="35"/>
  <c r="AQ71" i="35"/>
  <c r="O49" i="35"/>
  <c r="O93" i="35" s="1"/>
  <c r="BF45" i="35" l="1"/>
  <c r="AK110" i="35"/>
  <c r="AK113" i="35"/>
  <c r="BG113" i="35" s="1"/>
  <c r="AJ112" i="35"/>
  <c r="BF112" i="35" s="1"/>
  <c r="AJ89" i="35"/>
  <c r="Q101" i="35"/>
  <c r="R57" i="35" s="1"/>
  <c r="R101" i="35" s="1"/>
  <c r="AK100" i="35"/>
  <c r="AL56" i="35" s="1"/>
  <c r="AS78" i="35" s="1"/>
  <c r="AK123" i="35"/>
  <c r="BG123" i="35" s="1"/>
  <c r="AJ96" i="35"/>
  <c r="O50" i="35"/>
  <c r="O117" i="35" s="1"/>
  <c r="AL43" i="35"/>
  <c r="AL110" i="35" s="1"/>
  <c r="O43" i="35"/>
  <c r="O110" i="35" s="1"/>
  <c r="BG110" i="35" s="1"/>
  <c r="P49" i="35"/>
  <c r="P116" i="35" s="1"/>
  <c r="P48" i="35"/>
  <c r="P92" i="35" s="1"/>
  <c r="AK49" i="35"/>
  <c r="AR71" i="35" s="1"/>
  <c r="O88" i="35"/>
  <c r="V66" i="35"/>
  <c r="BG44" i="35"/>
  <c r="AJ47" i="35"/>
  <c r="AQ69" i="35" s="1"/>
  <c r="U74" i="35"/>
  <c r="BF52" i="35"/>
  <c r="M95" i="35"/>
  <c r="BE51" i="35"/>
  <c r="T73" i="35"/>
  <c r="P100" i="35"/>
  <c r="W78" i="35"/>
  <c r="AK52" i="35"/>
  <c r="AR74" i="35" s="1"/>
  <c r="AK88" i="35"/>
  <c r="AR66" i="35"/>
  <c r="N114" i="35"/>
  <c r="U69" i="35"/>
  <c r="O52" i="35"/>
  <c r="O119" i="35" s="1"/>
  <c r="P46" i="35"/>
  <c r="P113" i="35" s="1"/>
  <c r="AK118" i="35"/>
  <c r="AJ119" i="35"/>
  <c r="AK111" i="35"/>
  <c r="BG111" i="35" s="1"/>
  <c r="N91" i="35"/>
  <c r="N119" i="35"/>
  <c r="N117" i="35"/>
  <c r="BF117" i="35" s="1"/>
  <c r="U72" i="35"/>
  <c r="BF50" i="35"/>
  <c r="AJ94" i="35"/>
  <c r="AQ72" i="35"/>
  <c r="AK54" i="35"/>
  <c r="AK98" i="35" s="1"/>
  <c r="AK95" i="35"/>
  <c r="O45" i="35"/>
  <c r="AK55" i="35"/>
  <c r="AK122" i="35" s="1"/>
  <c r="BG122" i="35" s="1"/>
  <c r="P102" i="35"/>
  <c r="W80" i="35"/>
  <c r="BG56" i="35"/>
  <c r="AK90" i="35"/>
  <c r="AR68" i="35"/>
  <c r="AK58" i="35"/>
  <c r="AK102" i="35" s="1"/>
  <c r="AK45" i="35"/>
  <c r="AR67" i="35" s="1"/>
  <c r="AL92" i="35"/>
  <c r="P125" i="35"/>
  <c r="N110" i="35"/>
  <c r="O53" i="35"/>
  <c r="O97" i="35" s="1"/>
  <c r="O116" i="35"/>
  <c r="V71" i="35"/>
  <c r="AL115" i="35"/>
  <c r="Q55" i="35"/>
  <c r="Q122" i="35" s="1"/>
  <c r="P98" i="35"/>
  <c r="W76" i="35"/>
  <c r="AR65" i="35"/>
  <c r="AJ57" i="35"/>
  <c r="AK97" i="35"/>
  <c r="AR75" i="35"/>
  <c r="U65" i="35"/>
  <c r="BF43" i="35"/>
  <c r="O115" i="35"/>
  <c r="BG115" i="35" s="1"/>
  <c r="V70" i="35"/>
  <c r="BG48" i="35"/>
  <c r="BG49" i="35" l="1"/>
  <c r="AJ114" i="35"/>
  <c r="AL100" i="35"/>
  <c r="AM56" i="35" s="1"/>
  <c r="P115" i="35"/>
  <c r="AK121" i="35"/>
  <c r="BG121" i="35" s="1"/>
  <c r="Q99" i="35"/>
  <c r="R55" i="35" s="1"/>
  <c r="R122" i="35" s="1"/>
  <c r="BF114" i="35"/>
  <c r="BF119" i="35"/>
  <c r="AK99" i="35"/>
  <c r="AL55" i="35" s="1"/>
  <c r="AL99" i="35" s="1"/>
  <c r="AK116" i="35"/>
  <c r="AK89" i="35"/>
  <c r="AL45" i="35" s="1"/>
  <c r="AL89" i="35" s="1"/>
  <c r="O87" i="35"/>
  <c r="P43" i="35" s="1"/>
  <c r="P110" i="35" s="1"/>
  <c r="BH110" i="35" s="1"/>
  <c r="Q56" i="35"/>
  <c r="Q123" i="35" s="1"/>
  <c r="AL51" i="35"/>
  <c r="AS73" i="35" s="1"/>
  <c r="AJ124" i="35"/>
  <c r="BF124" i="35" s="1"/>
  <c r="AQ79" i="35"/>
  <c r="BF57" i="35"/>
  <c r="V75" i="35"/>
  <c r="BG53" i="35"/>
  <c r="AK112" i="35"/>
  <c r="Q58" i="35"/>
  <c r="Q102" i="35" s="1"/>
  <c r="AL54" i="35"/>
  <c r="AL98" i="35" s="1"/>
  <c r="BH115" i="35"/>
  <c r="BG43" i="35"/>
  <c r="V65" i="35"/>
  <c r="AL53" i="35"/>
  <c r="AS75" i="35" s="1"/>
  <c r="Q54" i="35"/>
  <c r="Q121" i="35" s="1"/>
  <c r="P53" i="35"/>
  <c r="P120" i="35" s="1"/>
  <c r="AJ101" i="35"/>
  <c r="O120" i="35"/>
  <c r="BG120" i="35" s="1"/>
  <c r="AL58" i="35"/>
  <c r="AL102" i="35" s="1"/>
  <c r="AR76" i="35"/>
  <c r="BG54" i="35"/>
  <c r="O47" i="35"/>
  <c r="W68" i="35"/>
  <c r="AL44" i="35"/>
  <c r="Q48" i="35"/>
  <c r="BG116" i="35"/>
  <c r="AK125" i="35"/>
  <c r="BG125" i="35" s="1"/>
  <c r="AR80" i="35"/>
  <c r="BG58" i="35"/>
  <c r="P90" i="35"/>
  <c r="AK119" i="35"/>
  <c r="BG119" i="35" s="1"/>
  <c r="N51" i="35"/>
  <c r="N95" i="35" s="1"/>
  <c r="P44" i="35"/>
  <c r="P88" i="35" s="1"/>
  <c r="W70" i="35"/>
  <c r="BH48" i="35"/>
  <c r="AL87" i="35"/>
  <c r="AS65" i="35"/>
  <c r="BF110" i="35"/>
  <c r="AR77" i="35"/>
  <c r="BG55" i="35"/>
  <c r="AK50" i="35"/>
  <c r="AR72" i="35" s="1"/>
  <c r="AK96" i="35"/>
  <c r="R124" i="35"/>
  <c r="AL46" i="35"/>
  <c r="BH46" i="35" s="1"/>
  <c r="O112" i="35"/>
  <c r="V67" i="35"/>
  <c r="BG45" i="35"/>
  <c r="O96" i="35"/>
  <c r="V74" i="35"/>
  <c r="BG52" i="35"/>
  <c r="S57" i="35"/>
  <c r="S124" i="35" s="1"/>
  <c r="P93" i="35"/>
  <c r="W71" i="35"/>
  <c r="O94" i="35"/>
  <c r="V72" i="35"/>
  <c r="AM48" i="35"/>
  <c r="AM92" i="35" s="1"/>
  <c r="O89" i="35"/>
  <c r="AL123" i="35"/>
  <c r="BH123" i="35" s="1"/>
  <c r="BF47" i="35"/>
  <c r="BH56" i="35"/>
  <c r="AJ91" i="35"/>
  <c r="AK93" i="35"/>
  <c r="BI56" i="35" l="1"/>
  <c r="AL95" i="35"/>
  <c r="P97" i="35"/>
  <c r="AM100" i="35"/>
  <c r="Q100" i="35"/>
  <c r="R56" i="35" s="1"/>
  <c r="R123" i="35" s="1"/>
  <c r="AL97" i="35"/>
  <c r="AL120" i="35"/>
  <c r="P111" i="35"/>
  <c r="BG50" i="35"/>
  <c r="AK117" i="35"/>
  <c r="BG117" i="35" s="1"/>
  <c r="AL118" i="35"/>
  <c r="AM55" i="35"/>
  <c r="BI55" i="35" s="1"/>
  <c r="O51" i="35"/>
  <c r="AL88" i="35"/>
  <c r="AS66" i="35"/>
  <c r="Q53" i="35"/>
  <c r="Q97" i="35" s="1"/>
  <c r="P87" i="35"/>
  <c r="BH43" i="35"/>
  <c r="W65" i="35"/>
  <c r="AL121" i="35"/>
  <c r="BH121" i="35" s="1"/>
  <c r="AS76" i="35"/>
  <c r="BH54" i="35"/>
  <c r="P52" i="35"/>
  <c r="P96" i="35" s="1"/>
  <c r="AL52" i="35"/>
  <c r="AS74" i="35" s="1"/>
  <c r="AL111" i="35"/>
  <c r="AM58" i="35"/>
  <c r="AM102" i="35" s="1"/>
  <c r="W75" i="35"/>
  <c r="BH53" i="35"/>
  <c r="AN56" i="35"/>
  <c r="AN100" i="35" s="1"/>
  <c r="R58" i="35"/>
  <c r="R125" i="35" s="1"/>
  <c r="AM43" i="35"/>
  <c r="AM87" i="35" s="1"/>
  <c r="AL125" i="35"/>
  <c r="BH125" i="35" s="1"/>
  <c r="AS80" i="35"/>
  <c r="BH58" i="35"/>
  <c r="Q98" i="35"/>
  <c r="Q125" i="35"/>
  <c r="AM51" i="35"/>
  <c r="AM118" i="35" s="1"/>
  <c r="AL49" i="35"/>
  <c r="AL116" i="35" s="1"/>
  <c r="BH116" i="35" s="1"/>
  <c r="AK47" i="35"/>
  <c r="AK91" i="35" s="1"/>
  <c r="N118" i="35"/>
  <c r="BF118" i="35" s="1"/>
  <c r="U73" i="35"/>
  <c r="BF51" i="35"/>
  <c r="Q46" i="35"/>
  <c r="Q90" i="35" s="1"/>
  <c r="AM45" i="35"/>
  <c r="AM89" i="35" s="1"/>
  <c r="AM123" i="35"/>
  <c r="BI123" i="35" s="1"/>
  <c r="BG112" i="35"/>
  <c r="AM54" i="35"/>
  <c r="BI54" i="35" s="1"/>
  <c r="P50" i="35"/>
  <c r="P117" i="35" s="1"/>
  <c r="P45" i="35"/>
  <c r="P112" i="35" s="1"/>
  <c r="Q49" i="35"/>
  <c r="Q93" i="35" s="1"/>
  <c r="AK94" i="35"/>
  <c r="AL112" i="35"/>
  <c r="AS67" i="35"/>
  <c r="V69" i="35"/>
  <c r="R99" i="35"/>
  <c r="AM53" i="35"/>
  <c r="AM115" i="35"/>
  <c r="Q44" i="35"/>
  <c r="Q111" i="35" s="1"/>
  <c r="AL122" i="35"/>
  <c r="BH122" i="35" s="1"/>
  <c r="AS77" i="35"/>
  <c r="BH55" i="35"/>
  <c r="O114" i="35"/>
  <c r="BH120" i="35"/>
  <c r="AL90" i="35"/>
  <c r="AS68" i="35"/>
  <c r="Q92" i="35"/>
  <c r="BI48" i="35"/>
  <c r="AN48" i="35"/>
  <c r="AN92" i="35" s="1"/>
  <c r="S101" i="35"/>
  <c r="AL113" i="35"/>
  <c r="BH113" i="35" s="1"/>
  <c r="BH44" i="35"/>
  <c r="W66" i="35"/>
  <c r="Q115" i="35"/>
  <c r="O91" i="35"/>
  <c r="AK57" i="35"/>
  <c r="AK124" i="35" s="1"/>
  <c r="BG124" i="35" s="1"/>
  <c r="BI53" i="35" l="1"/>
  <c r="Q88" i="35"/>
  <c r="AL96" i="35"/>
  <c r="BI58" i="35"/>
  <c r="AN115" i="35"/>
  <c r="AM97" i="35"/>
  <c r="AN53" i="35" s="1"/>
  <c r="AM125" i="35"/>
  <c r="BI125" i="35" s="1"/>
  <c r="AM122" i="35"/>
  <c r="BI122" i="35" s="1"/>
  <c r="BI115" i="35"/>
  <c r="AM110" i="35"/>
  <c r="BH111" i="35"/>
  <c r="AM112" i="35"/>
  <c r="R102" i="35"/>
  <c r="AL119" i="35"/>
  <c r="BJ56" i="35"/>
  <c r="BG47" i="35"/>
  <c r="AM95" i="35"/>
  <c r="AN51" i="35" s="1"/>
  <c r="AN118" i="35" s="1"/>
  <c r="AK101" i="35"/>
  <c r="AL57" i="35" s="1"/>
  <c r="AL93" i="35"/>
  <c r="AM49" i="35" s="1"/>
  <c r="AM93" i="35" s="1"/>
  <c r="R100" i="35"/>
  <c r="S56" i="35" s="1"/>
  <c r="S123" i="35" s="1"/>
  <c r="AM99" i="35"/>
  <c r="AN55" i="35" s="1"/>
  <c r="BJ55" i="35" s="1"/>
  <c r="AN45" i="35"/>
  <c r="AN112" i="35" s="1"/>
  <c r="R53" i="35"/>
  <c r="R97" i="35" s="1"/>
  <c r="R46" i="35"/>
  <c r="R113" i="35" s="1"/>
  <c r="Q52" i="35"/>
  <c r="AO48" i="35"/>
  <c r="AO115" i="35" s="1"/>
  <c r="R49" i="35"/>
  <c r="R93" i="35" s="1"/>
  <c r="AN123" i="35"/>
  <c r="BJ123" i="35" s="1"/>
  <c r="AM52" i="35"/>
  <c r="AM119" i="35" s="1"/>
  <c r="AM44" i="35"/>
  <c r="BI44" i="35" s="1"/>
  <c r="AN43" i="35"/>
  <c r="AN110" i="35" s="1"/>
  <c r="V73" i="35"/>
  <c r="BG51" i="35"/>
  <c r="P119" i="35"/>
  <c r="O95" i="35"/>
  <c r="R48" i="35"/>
  <c r="R92" i="35" s="1"/>
  <c r="S55" i="35"/>
  <c r="S122" i="35" s="1"/>
  <c r="AL47" i="35"/>
  <c r="AL91" i="35" s="1"/>
  <c r="AR79" i="35"/>
  <c r="BG57" i="35"/>
  <c r="T57" i="35"/>
  <c r="T101" i="35" s="1"/>
  <c r="P94" i="35"/>
  <c r="W72" i="35"/>
  <c r="AK114" i="35"/>
  <c r="BG114" i="35" s="1"/>
  <c r="AR69" i="35"/>
  <c r="Q43" i="35"/>
  <c r="Q87" i="35" s="1"/>
  <c r="O118" i="35"/>
  <c r="BG118" i="35" s="1"/>
  <c r="Q116" i="35"/>
  <c r="W74" i="35"/>
  <c r="BH52" i="35"/>
  <c r="AM46" i="35"/>
  <c r="AM90" i="35" s="1"/>
  <c r="R54" i="35"/>
  <c r="R121" i="35" s="1"/>
  <c r="P47" i="35"/>
  <c r="P114" i="35" s="1"/>
  <c r="BH112" i="35"/>
  <c r="AM121" i="35"/>
  <c r="BI121" i="35" s="1"/>
  <c r="AN58" i="35"/>
  <c r="BJ58" i="35" s="1"/>
  <c r="Q120" i="35"/>
  <c r="R44" i="35"/>
  <c r="R111" i="35" s="1"/>
  <c r="AO56" i="35"/>
  <c r="P89" i="35"/>
  <c r="W67" i="35"/>
  <c r="BH45" i="35"/>
  <c r="AM120" i="35"/>
  <c r="AL50" i="35"/>
  <c r="AS72" i="35" s="1"/>
  <c r="AM98" i="35"/>
  <c r="Q113" i="35"/>
  <c r="AS71" i="35"/>
  <c r="BH49" i="35"/>
  <c r="S58" i="35"/>
  <c r="S125" i="35" s="1"/>
  <c r="BI52" i="35" l="1"/>
  <c r="BJ53" i="35"/>
  <c r="BI120" i="35"/>
  <c r="BH119" i="35"/>
  <c r="R90" i="35"/>
  <c r="AN102" i="35"/>
  <c r="AO58" i="35" s="1"/>
  <c r="AO102" i="35" s="1"/>
  <c r="AL117" i="35"/>
  <c r="BH117" i="35" s="1"/>
  <c r="AM111" i="35"/>
  <c r="BI111" i="35" s="1"/>
  <c r="AN125" i="35"/>
  <c r="BJ125" i="35" s="1"/>
  <c r="AM113" i="35"/>
  <c r="BI113" i="35" s="1"/>
  <c r="R120" i="35"/>
  <c r="BK56" i="35"/>
  <c r="R88" i="35"/>
  <c r="S44" i="35" s="1"/>
  <c r="S111" i="35" s="1"/>
  <c r="P91" i="35"/>
  <c r="Q47" i="35" s="1"/>
  <c r="Q114" i="35" s="1"/>
  <c r="AO92" i="35"/>
  <c r="AP48" i="35" s="1"/>
  <c r="AP115" i="35" s="1"/>
  <c r="R98" i="35"/>
  <c r="S54" i="35" s="1"/>
  <c r="S98" i="35" s="1"/>
  <c r="AM88" i="35"/>
  <c r="AN44" i="35" s="1"/>
  <c r="AN111" i="35" s="1"/>
  <c r="BJ111" i="35" s="1"/>
  <c r="AN99" i="35"/>
  <c r="AO55" i="35" s="1"/>
  <c r="AO99" i="35" s="1"/>
  <c r="AL124" i="35"/>
  <c r="BH124" i="35" s="1"/>
  <c r="AL101" i="35"/>
  <c r="AM57" i="35" s="1"/>
  <c r="BI57" i="35" s="1"/>
  <c r="S100" i="35"/>
  <c r="T56" i="35" s="1"/>
  <c r="T100" i="35" s="1"/>
  <c r="AN122" i="35"/>
  <c r="BJ122" i="35" s="1"/>
  <c r="Q110" i="35"/>
  <c r="BI110" i="35" s="1"/>
  <c r="AM96" i="35"/>
  <c r="AN52" i="35" s="1"/>
  <c r="AL94" i="35"/>
  <c r="AM50" i="35" s="1"/>
  <c r="AM94" i="35" s="1"/>
  <c r="U57" i="35"/>
  <c r="U124" i="35" s="1"/>
  <c r="R43" i="35"/>
  <c r="BJ43" i="35" s="1"/>
  <c r="AM47" i="35"/>
  <c r="AM91" i="35" s="1"/>
  <c r="S49" i="35"/>
  <c r="S93" i="35" s="1"/>
  <c r="S46" i="35"/>
  <c r="S113" i="35" s="1"/>
  <c r="S102" i="35"/>
  <c r="BI49" i="35"/>
  <c r="AL114" i="35"/>
  <c r="BH114" i="35" s="1"/>
  <c r="AS69" i="35"/>
  <c r="AN95" i="35"/>
  <c r="AN87" i="35"/>
  <c r="R116" i="35"/>
  <c r="AN49" i="35"/>
  <c r="AN116" i="35" s="1"/>
  <c r="BJ116" i="35" s="1"/>
  <c r="AN46" i="35"/>
  <c r="BJ46" i="35" s="1"/>
  <c r="BH50" i="35"/>
  <c r="S48" i="35"/>
  <c r="S115" i="35" s="1"/>
  <c r="BK115" i="35" s="1"/>
  <c r="AO100" i="35"/>
  <c r="Q50" i="35"/>
  <c r="Q94" i="35" s="1"/>
  <c r="R115" i="35"/>
  <c r="BJ115" i="35" s="1"/>
  <c r="BJ48" i="35"/>
  <c r="S53" i="35"/>
  <c r="S120" i="35" s="1"/>
  <c r="Q45" i="35"/>
  <c r="Q112" i="35" s="1"/>
  <c r="BI112" i="35" s="1"/>
  <c r="P51" i="35"/>
  <c r="AN120" i="35"/>
  <c r="BI46" i="35"/>
  <c r="AN54" i="35"/>
  <c r="BJ54" i="35" s="1"/>
  <c r="AO123" i="35"/>
  <c r="BK123" i="35" s="1"/>
  <c r="W69" i="35"/>
  <c r="BH47" i="35"/>
  <c r="AS79" i="35"/>
  <c r="BH57" i="35"/>
  <c r="BI43" i="35"/>
  <c r="T124" i="35"/>
  <c r="S99" i="35"/>
  <c r="Q96" i="35"/>
  <c r="AN97" i="35"/>
  <c r="AM116" i="35"/>
  <c r="BI116" i="35" s="1"/>
  <c r="Q119" i="35"/>
  <c r="BI119" i="35" s="1"/>
  <c r="AN89" i="35"/>
  <c r="S88" i="35" l="1"/>
  <c r="BJ120" i="35"/>
  <c r="R110" i="35"/>
  <c r="BJ110" i="35" s="1"/>
  <c r="AM114" i="35"/>
  <c r="R87" i="35"/>
  <c r="S43" i="35" s="1"/>
  <c r="S87" i="35" s="1"/>
  <c r="T123" i="35"/>
  <c r="S90" i="35"/>
  <c r="T46" i="35" s="1"/>
  <c r="T90" i="35" s="1"/>
  <c r="BI114" i="35"/>
  <c r="AO125" i="35"/>
  <c r="BK125" i="35" s="1"/>
  <c r="S121" i="35"/>
  <c r="Q91" i="35"/>
  <c r="R47" i="35" s="1"/>
  <c r="AN96" i="35"/>
  <c r="AN119" i="35"/>
  <c r="AM117" i="35"/>
  <c r="BI50" i="35"/>
  <c r="AN98" i="35"/>
  <c r="AO54" i="35" s="1"/>
  <c r="BK54" i="35" s="1"/>
  <c r="AN113" i="35"/>
  <c r="BJ113" i="35" s="1"/>
  <c r="AO122" i="35"/>
  <c r="BK122" i="35" s="1"/>
  <c r="S97" i="35"/>
  <c r="T53" i="35" s="1"/>
  <c r="T97" i="35" s="1"/>
  <c r="AP92" i="35"/>
  <c r="AQ48" i="35" s="1"/>
  <c r="AQ115" i="35" s="1"/>
  <c r="AN90" i="35"/>
  <c r="AO46" i="35" s="1"/>
  <c r="BK46" i="35" s="1"/>
  <c r="AN47" i="35"/>
  <c r="AN91" i="35" s="1"/>
  <c r="U56" i="35"/>
  <c r="U123" i="35" s="1"/>
  <c r="T44" i="35"/>
  <c r="T88" i="35" s="1"/>
  <c r="T58" i="35"/>
  <c r="BK55" i="35"/>
  <c r="AP56" i="35"/>
  <c r="BL56" i="35" s="1"/>
  <c r="S92" i="35"/>
  <c r="BK48" i="35"/>
  <c r="BJ49" i="35"/>
  <c r="AP58" i="35"/>
  <c r="AP102" i="35" s="1"/>
  <c r="T54" i="35"/>
  <c r="T98" i="35" s="1"/>
  <c r="T55" i="35"/>
  <c r="AM101" i="35"/>
  <c r="R50" i="35"/>
  <c r="AO43" i="35"/>
  <c r="AO110" i="35" s="1"/>
  <c r="R52" i="35"/>
  <c r="BJ52" i="35" s="1"/>
  <c r="AO45" i="35"/>
  <c r="AO89" i="35" s="1"/>
  <c r="AM124" i="35"/>
  <c r="BI124" i="35" s="1"/>
  <c r="Q89" i="35"/>
  <c r="BI45" i="35"/>
  <c r="Q117" i="35"/>
  <c r="AO51" i="35"/>
  <c r="AO95" i="35" s="1"/>
  <c r="AN50" i="35"/>
  <c r="AN94" i="35" s="1"/>
  <c r="AP55" i="35"/>
  <c r="AP99" i="35" s="1"/>
  <c r="BI47" i="35"/>
  <c r="AN88" i="35"/>
  <c r="P118" i="35"/>
  <c r="BH118" i="35" s="1"/>
  <c r="W73" i="35"/>
  <c r="BH51" i="35"/>
  <c r="T49" i="35"/>
  <c r="T116" i="35" s="1"/>
  <c r="BJ44" i="35"/>
  <c r="AO53" i="35"/>
  <c r="BK53" i="35" s="1"/>
  <c r="AN121" i="35"/>
  <c r="BJ121" i="35" s="1"/>
  <c r="P95" i="35"/>
  <c r="AO52" i="35"/>
  <c r="AO96" i="35" s="1"/>
  <c r="AN93" i="35"/>
  <c r="S116" i="35"/>
  <c r="BK58" i="35"/>
  <c r="U101" i="35"/>
  <c r="BI117" i="35" l="1"/>
  <c r="AO112" i="35"/>
  <c r="T111" i="35"/>
  <c r="AO87" i="35"/>
  <c r="AP43" i="35" s="1"/>
  <c r="AP110" i="35" s="1"/>
  <c r="S110" i="35"/>
  <c r="BK110" i="35" s="1"/>
  <c r="U100" i="35"/>
  <c r="V56" i="35" s="1"/>
  <c r="V100" i="35" s="1"/>
  <c r="AO118" i="35"/>
  <c r="AN114" i="35"/>
  <c r="AO120" i="35"/>
  <c r="BK120" i="35" s="1"/>
  <c r="AP100" i="35"/>
  <c r="AO121" i="35"/>
  <c r="BK121" i="35" s="1"/>
  <c r="AO97" i="35"/>
  <c r="AP53" i="35" s="1"/>
  <c r="BL53" i="35" s="1"/>
  <c r="BL55" i="35"/>
  <c r="AP123" i="35"/>
  <c r="BL123" i="35" s="1"/>
  <c r="BL58" i="35"/>
  <c r="T120" i="35"/>
  <c r="AO119" i="35"/>
  <c r="T93" i="35"/>
  <c r="U49" i="35" s="1"/>
  <c r="R119" i="35"/>
  <c r="BJ119" i="35" s="1"/>
  <c r="R96" i="35"/>
  <c r="U46" i="35"/>
  <c r="U113" i="35" s="1"/>
  <c r="AQ58" i="35"/>
  <c r="AQ102" i="35" s="1"/>
  <c r="AP52" i="35"/>
  <c r="AP96" i="35" s="1"/>
  <c r="T122" i="35"/>
  <c r="T102" i="35"/>
  <c r="U53" i="35"/>
  <c r="U97" i="35" s="1"/>
  <c r="AP122" i="35"/>
  <c r="AQ92" i="35"/>
  <c r="T125" i="35"/>
  <c r="R91" i="35"/>
  <c r="BJ47" i="35"/>
  <c r="AQ55" i="35"/>
  <c r="AQ99" i="35" s="1"/>
  <c r="AN117" i="35"/>
  <c r="R94" i="35"/>
  <c r="BJ50" i="35"/>
  <c r="T121" i="35"/>
  <c r="AQ56" i="35"/>
  <c r="BM56" i="35" s="1"/>
  <c r="U44" i="35"/>
  <c r="U111" i="35" s="1"/>
  <c r="V57" i="35"/>
  <c r="AO50" i="35"/>
  <c r="AO94" i="35" s="1"/>
  <c r="AP45" i="35"/>
  <c r="AP89" i="35" s="1"/>
  <c r="BK43" i="35"/>
  <c r="R117" i="35"/>
  <c r="AP125" i="35"/>
  <c r="Q51" i="35"/>
  <c r="BI51" i="35" s="1"/>
  <c r="T43" i="35"/>
  <c r="T87" i="35" s="1"/>
  <c r="T48" i="35"/>
  <c r="T92" i="35" s="1"/>
  <c r="T113" i="35"/>
  <c r="AO44" i="35"/>
  <c r="BK44" i="35" s="1"/>
  <c r="AO90" i="35"/>
  <c r="AN57" i="35"/>
  <c r="BJ57" i="35" s="1"/>
  <c r="AP51" i="35"/>
  <c r="AP118" i="35" s="1"/>
  <c r="R45" i="35"/>
  <c r="R112" i="35" s="1"/>
  <c r="BJ112" i="35" s="1"/>
  <c r="U54" i="35"/>
  <c r="U121" i="35" s="1"/>
  <c r="AO49" i="35"/>
  <c r="AO116" i="35" s="1"/>
  <c r="BK116" i="35" s="1"/>
  <c r="R114" i="35"/>
  <c r="AO113" i="35"/>
  <c r="BK113" i="35" s="1"/>
  <c r="T99" i="35"/>
  <c r="AO98" i="35"/>
  <c r="AO47" i="35"/>
  <c r="AO91" i="35" s="1"/>
  <c r="BJ114" i="35" l="1"/>
  <c r="AQ125" i="35"/>
  <c r="AQ100" i="35"/>
  <c r="AO111" i="35"/>
  <c r="BK111" i="35" s="1"/>
  <c r="AP120" i="35"/>
  <c r="BL120" i="35" s="1"/>
  <c r="AO114" i="35"/>
  <c r="AO117" i="35"/>
  <c r="U120" i="35"/>
  <c r="AO88" i="35"/>
  <c r="AP44" i="35" s="1"/>
  <c r="BL44" i="35" s="1"/>
  <c r="AP87" i="35"/>
  <c r="AQ43" i="35" s="1"/>
  <c r="AQ110" i="35" s="1"/>
  <c r="BL122" i="35"/>
  <c r="BL125" i="35"/>
  <c r="V123" i="35"/>
  <c r="U90" i="35"/>
  <c r="V46" i="35" s="1"/>
  <c r="V90" i="35" s="1"/>
  <c r="AN124" i="35"/>
  <c r="BJ124" i="35" s="1"/>
  <c r="S52" i="35"/>
  <c r="S96" i="35" s="1"/>
  <c r="T52" i="35" s="1"/>
  <c r="T119" i="35" s="1"/>
  <c r="BL119" i="35" s="1"/>
  <c r="U88" i="35"/>
  <c r="V44" i="35" s="1"/>
  <c r="V88" i="35" s="1"/>
  <c r="U93" i="35"/>
  <c r="V49" i="35" s="1"/>
  <c r="V116" i="35" s="1"/>
  <c r="U116" i="35"/>
  <c r="AP119" i="35"/>
  <c r="U98" i="35"/>
  <c r="V54" i="35" s="1"/>
  <c r="V98" i="35" s="1"/>
  <c r="AP95" i="35"/>
  <c r="AQ51" i="35" s="1"/>
  <c r="AQ95" i="35" s="1"/>
  <c r="AP112" i="35"/>
  <c r="BJ117" i="35"/>
  <c r="AQ123" i="35"/>
  <c r="BM123" i="35" s="1"/>
  <c r="AR55" i="35"/>
  <c r="AR99" i="35" s="1"/>
  <c r="U43" i="35"/>
  <c r="AP50" i="35"/>
  <c r="AP94" i="35" s="1"/>
  <c r="AR56" i="35"/>
  <c r="AR100" i="35" s="1"/>
  <c r="AQ122" i="35"/>
  <c r="AP47" i="35"/>
  <c r="AP91" i="35" s="1"/>
  <c r="V124" i="35"/>
  <c r="AR48" i="35"/>
  <c r="AR115" i="35" s="1"/>
  <c r="U58" i="35"/>
  <c r="BM58" i="35" s="1"/>
  <c r="S47" i="35"/>
  <c r="BK47" i="35" s="1"/>
  <c r="AO93" i="35"/>
  <c r="BK49" i="35"/>
  <c r="AP54" i="35"/>
  <c r="AP121" i="35" s="1"/>
  <c r="BL121" i="35" s="1"/>
  <c r="AP97" i="35"/>
  <c r="AP46" i="35"/>
  <c r="BL46" i="35" s="1"/>
  <c r="AR58" i="35"/>
  <c r="AR125" i="35" s="1"/>
  <c r="U55" i="35"/>
  <c r="U99" i="35" s="1"/>
  <c r="T110" i="35"/>
  <c r="BL110" i="35" s="1"/>
  <c r="BL43" i="35"/>
  <c r="W56" i="35"/>
  <c r="W123" i="35" s="1"/>
  <c r="V53" i="35"/>
  <c r="V120" i="35" s="1"/>
  <c r="T115" i="35"/>
  <c r="BL115" i="35" s="1"/>
  <c r="BL48" i="35"/>
  <c r="V101" i="35"/>
  <c r="Q95" i="35"/>
  <c r="AQ45" i="35"/>
  <c r="AQ112" i="35" s="1"/>
  <c r="S50" i="35"/>
  <c r="S117" i="35" s="1"/>
  <c r="R89" i="35"/>
  <c r="BJ45" i="35"/>
  <c r="U48" i="35"/>
  <c r="U115" i="35" s="1"/>
  <c r="BM115" i="35" s="1"/>
  <c r="AN101" i="35"/>
  <c r="Q118" i="35"/>
  <c r="BI118" i="35" s="1"/>
  <c r="AQ52" i="35"/>
  <c r="AQ96" i="35" s="1"/>
  <c r="BK117" i="35" l="1"/>
  <c r="S114" i="35"/>
  <c r="BK114" i="35" s="1"/>
  <c r="BK52" i="35"/>
  <c r="AQ89" i="35"/>
  <c r="S119" i="35"/>
  <c r="BK119" i="35" s="1"/>
  <c r="AR102" i="35"/>
  <c r="AS58" i="35" s="1"/>
  <c r="BM55" i="35"/>
  <c r="AP113" i="35"/>
  <c r="BL113" i="35" s="1"/>
  <c r="S91" i="35"/>
  <c r="T47" i="35" s="1"/>
  <c r="T114" i="35" s="1"/>
  <c r="AR122" i="35"/>
  <c r="V121" i="35"/>
  <c r="AP111" i="35"/>
  <c r="BL111" i="35" s="1"/>
  <c r="V97" i="35"/>
  <c r="W53" i="35" s="1"/>
  <c r="W97" i="35" s="1"/>
  <c r="AP88" i="35"/>
  <c r="AQ44" i="35" s="1"/>
  <c r="BM44" i="35" s="1"/>
  <c r="W100" i="35"/>
  <c r="AP117" i="35"/>
  <c r="AR123" i="35"/>
  <c r="BN123" i="35" s="1"/>
  <c r="AQ118" i="35"/>
  <c r="U125" i="35"/>
  <c r="BM125" i="35" s="1"/>
  <c r="BN56" i="35"/>
  <c r="U102" i="35"/>
  <c r="V58" i="35" s="1"/>
  <c r="V125" i="35" s="1"/>
  <c r="BN125" i="35" s="1"/>
  <c r="W44" i="35"/>
  <c r="W111" i="35" s="1"/>
  <c r="V55" i="35"/>
  <c r="BN55" i="35" s="1"/>
  <c r="AQ50" i="35"/>
  <c r="AQ94" i="35" s="1"/>
  <c r="AR52" i="35"/>
  <c r="AR96" i="35" s="1"/>
  <c r="AR51" i="35"/>
  <c r="AR118" i="35" s="1"/>
  <c r="AP90" i="35"/>
  <c r="AP114" i="35"/>
  <c r="AQ53" i="35"/>
  <c r="BM53" i="35" s="1"/>
  <c r="BM43" i="35"/>
  <c r="AQ47" i="35"/>
  <c r="AQ114" i="35" s="1"/>
  <c r="U92" i="35"/>
  <c r="BM48" i="35"/>
  <c r="W54" i="35"/>
  <c r="W98" i="35" s="1"/>
  <c r="V93" i="35"/>
  <c r="U110" i="35"/>
  <c r="BM110" i="35" s="1"/>
  <c r="S45" i="35"/>
  <c r="AP98" i="35"/>
  <c r="BL54" i="35"/>
  <c r="AR92" i="35"/>
  <c r="U87" i="35"/>
  <c r="W57" i="35"/>
  <c r="W101" i="35" s="1"/>
  <c r="AP49" i="35"/>
  <c r="AP93" i="35" s="1"/>
  <c r="S94" i="35"/>
  <c r="BK50" i="35"/>
  <c r="AQ119" i="35"/>
  <c r="AR45" i="35"/>
  <c r="AR112" i="35" s="1"/>
  <c r="AQ87" i="35"/>
  <c r="V113" i="35"/>
  <c r="AO57" i="35"/>
  <c r="BK57" i="35" s="1"/>
  <c r="R51" i="35"/>
  <c r="BJ51" i="35" s="1"/>
  <c r="W46" i="35"/>
  <c r="W90" i="35" s="1"/>
  <c r="V111" i="35"/>
  <c r="U122" i="35"/>
  <c r="BM122" i="35" s="1"/>
  <c r="T96" i="35"/>
  <c r="BL52" i="35"/>
  <c r="AS56" i="35"/>
  <c r="BO56" i="35" s="1"/>
  <c r="AS55" i="35"/>
  <c r="AS99" i="35" s="1"/>
  <c r="AO124" i="35" l="1"/>
  <c r="BK124" i="35" s="1"/>
  <c r="V122" i="35"/>
  <c r="AR95" i="35"/>
  <c r="AS51" i="35" s="1"/>
  <c r="AS95" i="35" s="1"/>
  <c r="BN122" i="35"/>
  <c r="AR89" i="35"/>
  <c r="AS45" i="35" s="1"/>
  <c r="AS89" i="35" s="1"/>
  <c r="AQ111" i="35"/>
  <c r="BM111" i="35" s="1"/>
  <c r="W88" i="35"/>
  <c r="AQ88" i="35"/>
  <c r="AR44" i="35" s="1"/>
  <c r="W113" i="35"/>
  <c r="AS123" i="35"/>
  <c r="BO123" i="35" s="1"/>
  <c r="AS100" i="35"/>
  <c r="AQ97" i="35"/>
  <c r="AR53" i="35" s="1"/>
  <c r="BN53" i="35" s="1"/>
  <c r="V99" i="35"/>
  <c r="W55" i="35" s="1"/>
  <c r="AQ120" i="35"/>
  <c r="BM120" i="35" s="1"/>
  <c r="AQ117" i="35"/>
  <c r="BL114" i="35"/>
  <c r="AO101" i="35"/>
  <c r="AP57" i="35" s="1"/>
  <c r="BL57" i="35" s="1"/>
  <c r="AS122" i="35"/>
  <c r="W120" i="35"/>
  <c r="T91" i="35"/>
  <c r="U47" i="35" s="1"/>
  <c r="T50" i="35"/>
  <c r="T94" i="35" s="1"/>
  <c r="AP116" i="35"/>
  <c r="BL116" i="35" s="1"/>
  <c r="BL49" i="35"/>
  <c r="W121" i="35"/>
  <c r="V102" i="35"/>
  <c r="BN58" i="35"/>
  <c r="AR43" i="35"/>
  <c r="AR110" i="35" s="1"/>
  <c r="AQ54" i="35"/>
  <c r="BM54" i="35" s="1"/>
  <c r="W124" i="35"/>
  <c r="W49" i="35"/>
  <c r="W93" i="35" s="1"/>
  <c r="V48" i="35"/>
  <c r="V115" i="35" s="1"/>
  <c r="BN115" i="35" s="1"/>
  <c r="AR119" i="35"/>
  <c r="AQ49" i="35"/>
  <c r="AQ116" i="35" s="1"/>
  <c r="BM116" i="35" s="1"/>
  <c r="V43" i="35"/>
  <c r="AS52" i="35"/>
  <c r="AS96" i="35" s="1"/>
  <c r="AQ46" i="35"/>
  <c r="BM46" i="35" s="1"/>
  <c r="S89" i="35"/>
  <c r="BK45" i="35"/>
  <c r="AS102" i="35"/>
  <c r="AQ91" i="35"/>
  <c r="U52" i="35"/>
  <c r="BM52" i="35" s="1"/>
  <c r="R118" i="35"/>
  <c r="BJ118" i="35" s="1"/>
  <c r="R95" i="35"/>
  <c r="AS48" i="35"/>
  <c r="AS115" i="35" s="1"/>
  <c r="S112" i="35"/>
  <c r="BK112" i="35" s="1"/>
  <c r="AS125" i="35"/>
  <c r="AR50" i="35"/>
  <c r="AR94" i="35" s="1"/>
  <c r="BL47" i="35"/>
  <c r="AQ113" i="35" l="1"/>
  <c r="BM113" i="35" s="1"/>
  <c r="AR117" i="35"/>
  <c r="U96" i="35"/>
  <c r="V52" i="35" s="1"/>
  <c r="BN52" i="35" s="1"/>
  <c r="AQ90" i="35"/>
  <c r="W99" i="35"/>
  <c r="BO55" i="35"/>
  <c r="BN44" i="35"/>
  <c r="AR88" i="35"/>
  <c r="AS44" i="35" s="1"/>
  <c r="BO44" i="35" s="1"/>
  <c r="AR120" i="35"/>
  <c r="BN120" i="35" s="1"/>
  <c r="W116" i="35"/>
  <c r="AS119" i="35"/>
  <c r="AR111" i="35"/>
  <c r="BN111" i="35" s="1"/>
  <c r="BN43" i="35"/>
  <c r="AR97" i="35"/>
  <c r="AS53" i="35" s="1"/>
  <c r="BO53" i="35" s="1"/>
  <c r="U91" i="35"/>
  <c r="V47" i="35" s="1"/>
  <c r="AS118" i="35"/>
  <c r="AR87" i="35"/>
  <c r="AS43" i="35" s="1"/>
  <c r="AS110" i="35" s="1"/>
  <c r="AS92" i="35"/>
  <c r="V110" i="35"/>
  <c r="BN110" i="35" s="1"/>
  <c r="V87" i="35"/>
  <c r="W43" i="35" s="1"/>
  <c r="U50" i="35"/>
  <c r="U94" i="35" s="1"/>
  <c r="U114" i="35"/>
  <c r="BM114" i="35" s="1"/>
  <c r="BM47" i="35"/>
  <c r="AQ121" i="35"/>
  <c r="BM121" i="35" s="1"/>
  <c r="T45" i="35"/>
  <c r="V92" i="35"/>
  <c r="BN48" i="35"/>
  <c r="AP124" i="35"/>
  <c r="BL124" i="35" s="1"/>
  <c r="AR46" i="35"/>
  <c r="BN46" i="35" s="1"/>
  <c r="AQ98" i="35"/>
  <c r="AS50" i="35"/>
  <c r="AS94" i="35" s="1"/>
  <c r="AP101" i="35"/>
  <c r="AQ93" i="35"/>
  <c r="BM49" i="35"/>
  <c r="W122" i="35"/>
  <c r="BO122" i="35" s="1"/>
  <c r="W58" i="35"/>
  <c r="W102" i="35" s="1"/>
  <c r="T117" i="35"/>
  <c r="BL117" i="35" s="1"/>
  <c r="BL50" i="35"/>
  <c r="S51" i="35"/>
  <c r="BK51" i="35" s="1"/>
  <c r="AS112" i="35"/>
  <c r="AR47" i="35"/>
  <c r="U119" i="35"/>
  <c r="BM119" i="35" s="1"/>
  <c r="S95" i="35" l="1"/>
  <c r="V91" i="35"/>
  <c r="V114" i="35"/>
  <c r="BN47" i="35"/>
  <c r="AR90" i="35"/>
  <c r="AS46" i="35" s="1"/>
  <c r="AS120" i="35"/>
  <c r="BO120" i="35" s="1"/>
  <c r="AS97" i="35"/>
  <c r="V119" i="35"/>
  <c r="BN119" i="35" s="1"/>
  <c r="AR91" i="35"/>
  <c r="AS47" i="35" s="1"/>
  <c r="AS91" i="35" s="1"/>
  <c r="V96" i="35"/>
  <c r="W110" i="35"/>
  <c r="BO110" i="35" s="1"/>
  <c r="AS111" i="35"/>
  <c r="BO111" i="35" s="1"/>
  <c r="AS87" i="35"/>
  <c r="AR114" i="35"/>
  <c r="BN114" i="35" s="1"/>
  <c r="AR113" i="35"/>
  <c r="BN113" i="35" s="1"/>
  <c r="T51" i="35"/>
  <c r="T118" i="35" s="1"/>
  <c r="BL118" i="35" s="1"/>
  <c r="AR49" i="35"/>
  <c r="AR116" i="35" s="1"/>
  <c r="BN116" i="35" s="1"/>
  <c r="T112" i="35"/>
  <c r="BL112" i="35" s="1"/>
  <c r="BL45" i="35"/>
  <c r="W47" i="35"/>
  <c r="W114" i="35" s="1"/>
  <c r="AQ57" i="35"/>
  <c r="AQ101" i="35" s="1"/>
  <c r="AS117" i="35"/>
  <c r="T89" i="35"/>
  <c r="W52" i="35"/>
  <c r="BO52" i="35" s="1"/>
  <c r="W48" i="35"/>
  <c r="W115" i="35" s="1"/>
  <c r="BO115" i="35" s="1"/>
  <c r="V50" i="35"/>
  <c r="V117" i="35" s="1"/>
  <c r="BN117" i="35" s="1"/>
  <c r="W125" i="35"/>
  <c r="BO58" i="35"/>
  <c r="S118" i="35"/>
  <c r="BK118" i="35" s="1"/>
  <c r="AR54" i="35"/>
  <c r="BN54" i="35" s="1"/>
  <c r="W87" i="35"/>
  <c r="BO43" i="35"/>
  <c r="AS88" i="35"/>
  <c r="U117" i="35"/>
  <c r="BM117" i="35" s="1"/>
  <c r="BM50" i="35"/>
  <c r="W96" i="35" l="1"/>
  <c r="W91" i="35"/>
  <c r="W119" i="35"/>
  <c r="BO119" i="35" s="1"/>
  <c r="AS114" i="35"/>
  <c r="AR121" i="35"/>
  <c r="BN121" i="35" s="1"/>
  <c r="AS90" i="35"/>
  <c r="BO46" i="35"/>
  <c r="W92" i="35"/>
  <c r="BO48" i="35"/>
  <c r="AQ124" i="35"/>
  <c r="BM124" i="35" s="1"/>
  <c r="BM57" i="35"/>
  <c r="AR93" i="35"/>
  <c r="BN49" i="35"/>
  <c r="AR57" i="35"/>
  <c r="BN57" i="35" s="1"/>
  <c r="BO114" i="35"/>
  <c r="BO125" i="35"/>
  <c r="BO47" i="35"/>
  <c r="AR98" i="35"/>
  <c r="V94" i="35"/>
  <c r="BN50" i="35"/>
  <c r="U45" i="35"/>
  <c r="U89" i="35" s="1"/>
  <c r="AS113" i="35"/>
  <c r="T95" i="35"/>
  <c r="BL51" i="35"/>
  <c r="AR124" i="35" l="1"/>
  <c r="BN124" i="35" s="1"/>
  <c r="AR101" i="35"/>
  <c r="AS57" i="35" s="1"/>
  <c r="BO57" i="35" s="1"/>
  <c r="V45" i="35"/>
  <c r="V112" i="35" s="1"/>
  <c r="BN112" i="35" s="1"/>
  <c r="BM45" i="35"/>
  <c r="AS49" i="35"/>
  <c r="AS93" i="35" s="1"/>
  <c r="U112" i="35"/>
  <c r="U51" i="35"/>
  <c r="W50" i="35"/>
  <c r="W117" i="35" s="1"/>
  <c r="BO117" i="35" s="1"/>
  <c r="BO113" i="35"/>
  <c r="AS54" i="35"/>
  <c r="BO54" i="35" s="1"/>
  <c r="AS121" i="35" l="1"/>
  <c r="BO121" i="35" s="1"/>
  <c r="AS98" i="35"/>
  <c r="AS101" i="35"/>
  <c r="AS116" i="35"/>
  <c r="BO49" i="35"/>
  <c r="Z8" i="3" a="1"/>
  <c r="U95" i="35"/>
  <c r="BM51" i="35"/>
  <c r="AS124" i="35"/>
  <c r="BO124" i="35" s="1"/>
  <c r="BM112" i="35"/>
  <c r="W94" i="35"/>
  <c r="BO50" i="35"/>
  <c r="U118" i="35"/>
  <c r="BM118" i="35" s="1"/>
  <c r="V89" i="35"/>
  <c r="BN45" i="35"/>
  <c r="V51" i="35" l="1"/>
  <c r="BN51" i="35" s="1"/>
  <c r="AP25" i="3"/>
  <c r="AE25" i="3"/>
  <c r="AR25" i="3"/>
  <c r="AQ25" i="3"/>
  <c r="AJ25" i="3"/>
  <c r="Z8" i="3"/>
  <c r="Z25" i="3" s="1"/>
  <c r="AG25" i="3"/>
  <c r="AO25" i="3"/>
  <c r="AI25" i="3"/>
  <c r="AK25" i="3"/>
  <c r="AM25" i="3"/>
  <c r="AL25" i="3"/>
  <c r="AH25" i="3"/>
  <c r="AC25" i="3"/>
  <c r="AD25" i="3"/>
  <c r="AF25" i="3"/>
  <c r="AS25" i="3"/>
  <c r="AB25" i="3"/>
  <c r="AA25" i="3"/>
  <c r="AN25" i="3"/>
  <c r="W45" i="35"/>
  <c r="W89" i="35" s="1"/>
  <c r="BO116" i="35"/>
  <c r="Z9" i="5" a="1"/>
  <c r="V118" i="35" l="1"/>
  <c r="BN118" i="35" s="1"/>
  <c r="V95" i="35"/>
  <c r="W51" i="35" s="1"/>
  <c r="D8" i="3" s="1" a="1"/>
  <c r="AB26" i="5"/>
  <c r="AR26" i="5"/>
  <c r="AQ26" i="5"/>
  <c r="AA26" i="5"/>
  <c r="AK26" i="5"/>
  <c r="AS26" i="5"/>
  <c r="AH26" i="5"/>
  <c r="AF26" i="5"/>
  <c r="AN26" i="5"/>
  <c r="AE26" i="5"/>
  <c r="AM26" i="5"/>
  <c r="AD26" i="5"/>
  <c r="AO26" i="5"/>
  <c r="Z9" i="5"/>
  <c r="Z26" i="5" s="1"/>
  <c r="AJ26" i="5"/>
  <c r="AL26" i="5"/>
  <c r="AI26" i="5"/>
  <c r="AP26" i="5"/>
  <c r="AG26" i="5"/>
  <c r="AC26" i="5"/>
  <c r="W112" i="35"/>
  <c r="BO45" i="35"/>
  <c r="Z26" i="3" a="1"/>
  <c r="Z26" i="3" s="1"/>
  <c r="Y26" i="3" s="1"/>
  <c r="W118" i="35" l="1"/>
  <c r="BO118" i="35" s="1"/>
  <c r="BO51" i="35"/>
  <c r="AV8" i="3" s="1" a="1"/>
  <c r="M25" i="3"/>
  <c r="V25" i="3"/>
  <c r="T25" i="3"/>
  <c r="R25" i="3"/>
  <c r="F25" i="3"/>
  <c r="S25" i="3"/>
  <c r="U25" i="3"/>
  <c r="I25" i="3"/>
  <c r="K25" i="3"/>
  <c r="D8" i="3"/>
  <c r="D25" i="3" s="1"/>
  <c r="Q25" i="3"/>
  <c r="P25" i="3"/>
  <c r="O25" i="3"/>
  <c r="E25" i="3"/>
  <c r="N25" i="3"/>
  <c r="H25" i="3"/>
  <c r="L25" i="3"/>
  <c r="W25" i="3"/>
  <c r="G25" i="3"/>
  <c r="J25" i="3"/>
  <c r="Z27" i="5" a="1"/>
  <c r="Z27" i="5" s="1"/>
  <c r="Y27" i="5" s="1"/>
  <c r="BO112" i="35"/>
  <c r="AV9" i="5" s="1" a="1"/>
  <c r="W95" i="35"/>
  <c r="BI26" i="5" l="1"/>
  <c r="BN26" i="5"/>
  <c r="BB26" i="5"/>
  <c r="BL26" i="5"/>
  <c r="BK26" i="5"/>
  <c r="BC26" i="5"/>
  <c r="BE26" i="5"/>
  <c r="AW26" i="5"/>
  <c r="AY26" i="5"/>
  <c r="BD26" i="5"/>
  <c r="AX26" i="5"/>
  <c r="BF26" i="5"/>
  <c r="AZ26" i="5"/>
  <c r="BG26" i="5"/>
  <c r="BO26" i="5"/>
  <c r="BJ26" i="5"/>
  <c r="BA26" i="5"/>
  <c r="AV9" i="5"/>
  <c r="AV26" i="5" s="1"/>
  <c r="BM26" i="5"/>
  <c r="BH26" i="5"/>
  <c r="C9" i="91" a="1"/>
  <c r="C9" i="91" s="1"/>
  <c r="D26" i="3" a="1"/>
  <c r="D26" i="3" s="1"/>
  <c r="C26" i="3" s="1"/>
  <c r="BB25" i="3"/>
  <c r="BI25" i="3"/>
  <c r="BL25" i="3"/>
  <c r="BA25" i="3"/>
  <c r="BJ25" i="3"/>
  <c r="BH25" i="3"/>
  <c r="BK25" i="3"/>
  <c r="AY25" i="3"/>
  <c r="AV8" i="3"/>
  <c r="AV25" i="3" s="1"/>
  <c r="AZ25" i="3"/>
  <c r="AX25" i="3"/>
  <c r="BO25" i="3"/>
  <c r="BN25" i="3"/>
  <c r="BM25" i="3"/>
  <c r="BD25" i="3"/>
  <c r="BG25" i="3"/>
  <c r="AW25" i="3"/>
  <c r="BC25" i="3"/>
  <c r="BF25" i="3"/>
  <c r="BE25" i="3"/>
  <c r="D9" i="5" a="1"/>
  <c r="C11" i="91" l="1"/>
  <c r="C12" i="91" s="1"/>
  <c r="D8" i="91" s="1"/>
  <c r="D10" i="91" s="1"/>
  <c r="D11" i="91" s="1"/>
  <c r="D12" i="91" s="1"/>
  <c r="E8" i="91" s="1"/>
  <c r="E10" i="91" s="1"/>
  <c r="E11" i="91" s="1"/>
  <c r="E12" i="91" s="1"/>
  <c r="F8" i="91" s="1"/>
  <c r="F10" i="91" s="1"/>
  <c r="F11" i="91" s="1"/>
  <c r="F12" i="91" s="1"/>
  <c r="G8" i="91" s="1"/>
  <c r="G10" i="91" s="1"/>
  <c r="G11" i="91" s="1"/>
  <c r="G12" i="91" s="1"/>
  <c r="H8" i="91" s="1"/>
  <c r="H10" i="91" s="1"/>
  <c r="H11" i="91" s="1"/>
  <c r="H12" i="91" s="1"/>
  <c r="I8" i="91" s="1"/>
  <c r="I10" i="91" s="1"/>
  <c r="I11" i="91" s="1"/>
  <c r="I12" i="91" s="1"/>
  <c r="J8" i="91" s="1"/>
  <c r="J10" i="91" s="1"/>
  <c r="J11" i="91" s="1"/>
  <c r="J12" i="91" s="1"/>
  <c r="K8" i="91" s="1"/>
  <c r="K10" i="91" s="1"/>
  <c r="K11" i="91" s="1"/>
  <c r="K12" i="91" s="1"/>
  <c r="L8" i="91" s="1"/>
  <c r="L10" i="91" s="1"/>
  <c r="L11" i="91" s="1"/>
  <c r="L12" i="91" s="1"/>
  <c r="M8" i="91" s="1"/>
  <c r="M10" i="91" s="1"/>
  <c r="M11" i="91" s="1"/>
  <c r="M12" i="91" s="1"/>
  <c r="N8" i="91" s="1"/>
  <c r="N10" i="91" s="1"/>
  <c r="N11" i="91" s="1"/>
  <c r="N12" i="91" s="1"/>
  <c r="O8" i="91" s="1"/>
  <c r="O10" i="91" s="1"/>
  <c r="O11" i="91" s="1"/>
  <c r="O12" i="91" s="1"/>
  <c r="P8" i="91" s="1"/>
  <c r="P10" i="91" s="1"/>
  <c r="P11" i="91" s="1"/>
  <c r="P12" i="91" s="1"/>
  <c r="Q8" i="91" s="1"/>
  <c r="Q10" i="91" s="1"/>
  <c r="Q11" i="91" s="1"/>
  <c r="Q12" i="91" s="1"/>
  <c r="R8" i="91" s="1"/>
  <c r="R10" i="91" s="1"/>
  <c r="R11" i="91" s="1"/>
  <c r="R12" i="91" s="1"/>
  <c r="S8" i="91" s="1"/>
  <c r="S10" i="91" s="1"/>
  <c r="S11" i="91" s="1"/>
  <c r="S12" i="91" s="1"/>
  <c r="T8" i="91" s="1"/>
  <c r="T10" i="91" s="1"/>
  <c r="T11" i="91" s="1"/>
  <c r="T12" i="91" s="1"/>
  <c r="U8" i="91" s="1"/>
  <c r="U10" i="91" s="1"/>
  <c r="U11" i="91" s="1"/>
  <c r="U12" i="91" s="1"/>
  <c r="V8" i="91" s="1"/>
  <c r="V10" i="91" s="1"/>
  <c r="C10" i="91"/>
  <c r="AV26" i="3" a="1"/>
  <c r="AV26" i="3" s="1"/>
  <c r="AU26" i="3" s="1"/>
  <c r="D6" i="95" s="1"/>
  <c r="V26" i="5"/>
  <c r="S26" i="5"/>
  <c r="U26" i="5"/>
  <c r="G26" i="5"/>
  <c r="R26" i="5"/>
  <c r="K26" i="5"/>
  <c r="E26" i="5"/>
  <c r="T26" i="5"/>
  <c r="I26" i="5"/>
  <c r="Q26" i="5"/>
  <c r="J26" i="5"/>
  <c r="H26" i="5"/>
  <c r="W26" i="5"/>
  <c r="D9" i="5"/>
  <c r="D26" i="5" s="1"/>
  <c r="F26" i="5"/>
  <c r="P26" i="5"/>
  <c r="M26" i="5"/>
  <c r="L26" i="5"/>
  <c r="N26" i="5"/>
  <c r="O26" i="5"/>
  <c r="AV27" i="5" a="1"/>
  <c r="AV27" i="5" s="1"/>
  <c r="AU27" i="5" s="1"/>
  <c r="D18" i="95" s="1"/>
  <c r="D19" i="95" s="1"/>
  <c r="E19" i="95" s="1" a="1"/>
  <c r="D40" i="95" l="1"/>
  <c r="V20" i="95"/>
  <c r="F20" i="95"/>
  <c r="W20" i="95"/>
  <c r="I20" i="95"/>
  <c r="L20" i="95"/>
  <c r="E19" i="95"/>
  <c r="G20" i="95"/>
  <c r="H20" i="95"/>
  <c r="R20" i="95"/>
  <c r="X20" i="95"/>
  <c r="M20" i="95"/>
  <c r="K20" i="95"/>
  <c r="O20" i="95"/>
  <c r="Q20" i="95"/>
  <c r="P20" i="95"/>
  <c r="J20" i="95"/>
  <c r="N20" i="95"/>
  <c r="U20" i="95"/>
  <c r="S20" i="95"/>
  <c r="T20" i="95"/>
  <c r="D7" i="95"/>
  <c r="E7" i="95" s="1" a="1"/>
  <c r="B15" i="92" a="1"/>
  <c r="D27" i="5" a="1"/>
  <c r="D27" i="5" s="1"/>
  <c r="C27" i="5" s="1"/>
  <c r="V11" i="91"/>
  <c r="B16" i="92" s="1" a="1"/>
  <c r="B16" i="92" s="1"/>
  <c r="V12" i="91" l="1"/>
  <c r="B15" i="92"/>
  <c r="B17" i="92" s="1"/>
  <c r="G17" i="92"/>
  <c r="P17" i="92"/>
  <c r="N17" i="92"/>
  <c r="F17" i="92"/>
  <c r="H17" i="92"/>
  <c r="O17" i="92"/>
  <c r="R17" i="92"/>
  <c r="Q17" i="92"/>
  <c r="S17" i="92"/>
  <c r="K17" i="92"/>
  <c r="E17" i="92"/>
  <c r="J17" i="92"/>
  <c r="U17" i="92"/>
  <c r="T17" i="92"/>
  <c r="C17" i="92"/>
  <c r="D17" i="92"/>
  <c r="I17" i="92"/>
  <c r="L17" i="92"/>
  <c r="M17" i="92"/>
  <c r="E20" i="95"/>
  <c r="Q8" i="95"/>
  <c r="O8" i="95"/>
  <c r="I8" i="95"/>
  <c r="G8" i="95"/>
  <c r="R8" i="95"/>
  <c r="H8" i="95"/>
  <c r="N8" i="95"/>
  <c r="M8" i="95"/>
  <c r="F8" i="95"/>
  <c r="S8" i="95"/>
  <c r="L8" i="95"/>
  <c r="X8" i="95"/>
  <c r="J8" i="95"/>
  <c r="K8" i="95"/>
  <c r="P8" i="95"/>
  <c r="W8" i="95"/>
  <c r="E7" i="95"/>
  <c r="V8" i="95"/>
  <c r="T8" i="95"/>
  <c r="U8" i="95"/>
  <c r="E8" i="95" l="1"/>
  <c r="E9" i="95" s="1" a="1"/>
  <c r="E9" i="95" s="1"/>
  <c r="D9" i="95" s="1"/>
  <c r="E29" i="95" a="1"/>
  <c r="E29" i="95" s="1"/>
  <c r="E21" i="95" a="1"/>
  <c r="E21" i="95" s="1"/>
  <c r="D21" i="95" s="1"/>
  <c r="D22" i="95" s="1"/>
  <c r="E32" i="95" l="1" a="1"/>
  <c r="E32" i="95" s="1"/>
  <c r="B6" i="92" a="1"/>
  <c r="B6" i="92" s="1"/>
  <c r="B7" i="92" s="1" a="1"/>
  <c r="B7" i="92" s="1"/>
  <c r="B8" i="92" s="1"/>
  <c r="E31" i="95" a="1"/>
  <c r="B30" i="1" a="1"/>
  <c r="B30" i="1" s="1"/>
  <c r="D10" i="95"/>
  <c r="D32" i="95"/>
  <c r="N33" i="95" l="1"/>
  <c r="R33" i="95"/>
  <c r="F33" i="95"/>
  <c r="E31" i="95"/>
  <c r="E39" i="95" s="1" a="1"/>
  <c r="E39" i="95" s="1"/>
  <c r="D39" i="95" s="1"/>
  <c r="D41" i="95" s="1"/>
  <c r="M34" i="95"/>
  <c r="U33" i="95"/>
  <c r="L33" i="95"/>
  <c r="J33" i="95"/>
  <c r="P33" i="95"/>
  <c r="H33" i="95"/>
  <c r="K33" i="95"/>
  <c r="S33" i="95"/>
  <c r="X33" i="95"/>
  <c r="O33" i="95"/>
  <c r="Q33" i="95"/>
  <c r="G33" i="95"/>
  <c r="W33" i="95"/>
  <c r="M33" i="95"/>
  <c r="V33" i="95"/>
  <c r="I33" i="95"/>
  <c r="T33" i="95"/>
  <c r="E33" i="9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<sst xmlns="http://schemas.openxmlformats.org/spreadsheetml/2006/main" count="571" uniqueCount="444">
  <si>
    <t>Date</t>
  </si>
  <si>
    <t>Version</t>
  </si>
  <si>
    <t>Confidentiality</t>
  </si>
  <si>
    <t>This cost model is a template with no confidential information</t>
  </si>
  <si>
    <t>Introduction:</t>
  </si>
  <si>
    <t>This network cost model was prepared by Acacia Economics for ICASA fixed termination rates</t>
  </si>
  <si>
    <t>Key</t>
  </si>
  <si>
    <t>Red fill means an assumption was used, typically from a licensee, and this figure can be changed</t>
  </si>
  <si>
    <t>Red text</t>
  </si>
  <si>
    <t>Means cell or array name</t>
  </si>
  <si>
    <t>Black text</t>
  </si>
  <si>
    <t>Explains an assumption or a source or otherwise provides an explanation.</t>
  </si>
  <si>
    <t>Growth scenario</t>
  </si>
  <si>
    <t>Medium growth scenario</t>
  </si>
  <si>
    <t>Market share of generic operator</t>
  </si>
  <si>
    <t>share_operator</t>
  </si>
  <si>
    <t>Costs</t>
  </si>
  <si>
    <t>Plan of cost model</t>
  </si>
  <si>
    <t>Step 1 - Volumes</t>
  </si>
  <si>
    <t>In this tab, we use dimensioning parameters  to convert usage volumes of fixed voice to common factors in the busy hour, in order to dimension our network.</t>
  </si>
  <si>
    <t>Parameter</t>
  </si>
  <si>
    <t>Unit</t>
  </si>
  <si>
    <t>Notes</t>
  </si>
  <si>
    <t>Input</t>
  </si>
  <si>
    <t>Cell reference</t>
  </si>
  <si>
    <t>General parameters</t>
  </si>
  <si>
    <t>Sources</t>
  </si>
  <si>
    <t>Seconds in one minute</t>
  </si>
  <si>
    <t>seconds/minute</t>
  </si>
  <si>
    <t>sec_minute</t>
  </si>
  <si>
    <t>Own calc</t>
  </si>
  <si>
    <t>Minutes in an hour</t>
  </si>
  <si>
    <t>mins/hour</t>
  </si>
  <si>
    <t>This is used, for example, for converting minutes to Erlangs (divide by 60)</t>
  </si>
  <si>
    <t>mins_hour</t>
  </si>
  <si>
    <t>Days in a year</t>
  </si>
  <si>
    <t>days/year</t>
  </si>
  <si>
    <t>Weeks in a year</t>
  </si>
  <si>
    <t>weeks/year</t>
  </si>
  <si>
    <t>Working days in a week</t>
  </si>
  <si>
    <t>days/week</t>
  </si>
  <si>
    <t>Days in a week</t>
  </si>
  <si>
    <t>On-net voice call and SMS provisioning / demand factor</t>
  </si>
  <si>
    <t>factor</t>
  </si>
  <si>
    <t>onnet_factor</t>
  </si>
  <si>
    <t>Call assumptions</t>
  </si>
  <si>
    <t>Source:</t>
  </si>
  <si>
    <t>Unsuccessful calls</t>
  </si>
  <si>
    <t>percentage</t>
  </si>
  <si>
    <t>unsuccessful_calls_perc</t>
  </si>
  <si>
    <t>Minutes per call</t>
  </si>
  <si>
    <t>mins_call</t>
  </si>
  <si>
    <t>Idle time (due to unanswered calls, voice messages, etc)</t>
  </si>
  <si>
    <t>idle_time</t>
  </si>
  <si>
    <t>EU fixed call termination rate model, 2018</t>
  </si>
  <si>
    <t>Note: these assumptions can be differentiated by service if needs be and the data are available</t>
  </si>
  <si>
    <t>Busy hour assumptions</t>
  </si>
  <si>
    <t>% of calls made during working days</t>
  </si>
  <si>
    <t>Working days in the year</t>
  </si>
  <si>
    <t>% of calls made in a working day during the busy hour</t>
  </si>
  <si>
    <t>% of annual traffic in the busy hour</t>
  </si>
  <si>
    <t>busy_hour_perc</t>
  </si>
  <si>
    <t>Network element demand assumptions</t>
  </si>
  <si>
    <t>Demand parameter</t>
  </si>
  <si>
    <t>Calls per second</t>
  </si>
  <si>
    <t>as_hardware</t>
  </si>
  <si>
    <t>as_software</t>
  </si>
  <si>
    <t>Call data records per hour (calls per hour)</t>
  </si>
  <si>
    <t>cdf_hardware</t>
  </si>
  <si>
    <t>cdf_software</t>
  </si>
  <si>
    <t>Busy hour call attempts</t>
  </si>
  <si>
    <t>proxy_cscf_hardware</t>
  </si>
  <si>
    <t>proxy_cscf_software</t>
  </si>
  <si>
    <t>interr_cscf_hardware</t>
  </si>
  <si>
    <t>interr_cscf_software</t>
  </si>
  <si>
    <t>serve_cscf_hardware</t>
  </si>
  <si>
    <t>serve_cscf_software</t>
  </si>
  <si>
    <t>mrf_hardware</t>
  </si>
  <si>
    <t>mrf_software</t>
  </si>
  <si>
    <t>access_sbc_hardware</t>
  </si>
  <si>
    <t>access_sbc_software</t>
  </si>
  <si>
    <t>ix_sbc_hardware</t>
  </si>
  <si>
    <t>ix_sbc_software</t>
  </si>
  <si>
    <t>Note: equipment vendors may bill stakeholders based on different network dimensioning elements</t>
  </si>
  <si>
    <t>Note: It may me useful to distinguish between concurrent voice channels and concurrent sessions for the MRF</t>
  </si>
  <si>
    <t>Traffic demand-total volumes</t>
  </si>
  <si>
    <t>These data are pulled from 1 volumes based on the scenario in the summary tab</t>
  </si>
  <si>
    <t>B Traffic excluding incoming voice</t>
  </si>
  <si>
    <t>fixed_services</t>
  </si>
  <si>
    <t>fixed_minutes</t>
  </si>
  <si>
    <t>Traffic (minutes) in the busy hour</t>
  </si>
  <si>
    <t>Here, traffic in the busy hour is calculated using the proportion of traffic in the busy hour assumption, and we also take into account call idle time (excluding on-net factor)</t>
  </si>
  <si>
    <t>fixed_minutes_busy_hour</t>
  </si>
  <si>
    <t>We now add an on-net factor for the call per second calculations below</t>
  </si>
  <si>
    <t>fixed_minutes_busy_hour_onnet_factor</t>
  </si>
  <si>
    <t>Calls per hour in the busy hour</t>
  </si>
  <si>
    <t>Now, we calculate calls per hour for calls transiting the core (no on-net factor, for IX demand)</t>
  </si>
  <si>
    <t>A Baseline</t>
  </si>
  <si>
    <t>fixed_calls_service</t>
  </si>
  <si>
    <t>Total</t>
  </si>
  <si>
    <t>fixed_calls_per_hour</t>
  </si>
  <si>
    <t>fixed_calls_per_hour_noincoming</t>
  </si>
  <si>
    <t>fixed_calls_service_onnet_factor</t>
  </si>
  <si>
    <t>fixed_calls_per_hour_onnet_factor</t>
  </si>
  <si>
    <t>fixed_calls_per_hour_onnet_factor_noincoming</t>
  </si>
  <si>
    <t>Busy hour call attempts - for CDF demand</t>
  </si>
  <si>
    <t>We also need to add in calls attempted but not completed - no onnet_factor for CDf</t>
  </si>
  <si>
    <t>busy_hour_call_attempts</t>
  </si>
  <si>
    <t>busy_hour_call_attempts_noincoming</t>
  </si>
  <si>
    <t>We calculate calls per second by dividing busy hour minutes by 60 seconds (excluding on-net factor for IX SBCs)</t>
  </si>
  <si>
    <t>Total - through core - excluding on-net factor</t>
  </si>
  <si>
    <t>fixed_calls_persecond</t>
  </si>
  <si>
    <t>fixed_calls_persecond_noincoming</t>
  </si>
  <si>
    <t>We calculate calls per second by dividing busy hour minutes by 60 seconds (including on-net factor for access SBCs and AS)</t>
  </si>
  <si>
    <t>Total - through core - including on-net factor</t>
  </si>
  <si>
    <t>fixed_calls_persecond_onnet_factor</t>
  </si>
  <si>
    <t>fixed_calls_persecond_onnet_factor_noincoming</t>
  </si>
  <si>
    <t>Inbound minutes for LRIC calculation</t>
  </si>
  <si>
    <t>Incoming minutes</t>
  </si>
  <si>
    <t>Minutes</t>
  </si>
  <si>
    <t>fixed_minutes_incoming</t>
  </si>
  <si>
    <t>Step 4b - Network element demand - core network</t>
  </si>
  <si>
    <t>This tab contains the number of network elements to be used as inputs in the capital and operating cost calculations of the model</t>
  </si>
  <si>
    <t>Maximum load of core network</t>
  </si>
  <si>
    <t>max_load</t>
  </si>
  <si>
    <t>Redundancy factor</t>
  </si>
  <si>
    <t>redundancy</t>
  </si>
  <si>
    <t>B No incoming voice</t>
  </si>
  <si>
    <t>First, we consider the total number of core network elements required, including the maximum load and redundancy factors</t>
  </si>
  <si>
    <t>We also apply the on-net factor to the access SBCs</t>
  </si>
  <si>
    <t>Network element</t>
  </si>
  <si>
    <t>Derivation</t>
  </si>
  <si>
    <t>Application server hardware</t>
  </si>
  <si>
    <t>On-net factor</t>
  </si>
  <si>
    <t>Application server software</t>
  </si>
  <si>
    <t>Charging data function hardware</t>
  </si>
  <si>
    <t>No on-net factor</t>
  </si>
  <si>
    <t>Charging data function software</t>
  </si>
  <si>
    <t>Proxy - Call session control function hardware</t>
  </si>
  <si>
    <t>Proxy - Call session control function software</t>
  </si>
  <si>
    <t>Interrogating - Call session control function hardware</t>
  </si>
  <si>
    <t>Interrogating - Call session control function software</t>
  </si>
  <si>
    <t>Serving - Call session control function hardware</t>
  </si>
  <si>
    <t>Serving - Call session control function software</t>
  </si>
  <si>
    <t>Media resource function - hardware</t>
  </si>
  <si>
    <t>Media resource function - software</t>
  </si>
  <si>
    <t>Access session border controller - hardware</t>
  </si>
  <si>
    <t>Access session border controller - software</t>
  </si>
  <si>
    <t>Internet exchange point session border controller - hardware</t>
  </si>
  <si>
    <t>Internet exchange point session border controller - software</t>
  </si>
  <si>
    <t>core_elements</t>
  </si>
  <si>
    <t>Note: different fixed line networks may use different layers of the IP Multimedia Subsystem.</t>
  </si>
  <si>
    <t>Depreciation period</t>
  </si>
  <si>
    <t xml:space="preserve">Step 4 - Capital costs </t>
  </si>
  <si>
    <t>Financial inputs</t>
  </si>
  <si>
    <t>Percentage of capital that is debt</t>
  </si>
  <si>
    <t>debt_perc</t>
  </si>
  <si>
    <t>Exchange rate (USD/ZAR)</t>
  </si>
  <si>
    <t>Exchange rate (GBP/ZAR)</t>
  </si>
  <si>
    <t>Exchange rate (EUR/ZAR)</t>
  </si>
  <si>
    <t>Inflation</t>
  </si>
  <si>
    <t>inflation</t>
  </si>
  <si>
    <t>Real WACC - pre-tax</t>
  </si>
  <si>
    <t>Nominal WACC - pre-tax</t>
  </si>
  <si>
    <t xml:space="preserve">WACC index </t>
  </si>
  <si>
    <t>wacc_index</t>
  </si>
  <si>
    <t xml:space="preserve">Core network </t>
  </si>
  <si>
    <t>Discounted</t>
  </si>
  <si>
    <t>unit_costs_core</t>
  </si>
  <si>
    <t>Total costs</t>
  </si>
  <si>
    <t>core_costs_noincoming</t>
  </si>
  <si>
    <t>Step 5 - Operating and maintence costs</t>
  </si>
  <si>
    <t>Core</t>
  </si>
  <si>
    <t>Core network opex</t>
  </si>
  <si>
    <t xml:space="preserve">This is a header tab, and has been left blank intentionally. </t>
  </si>
  <si>
    <t>Volume projections based on ITU data</t>
  </si>
  <si>
    <t>Annual volume growth</t>
  </si>
  <si>
    <t>% of fixed traffic that is on-net</t>
  </si>
  <si>
    <t>On-net fixed to fixed traffic</t>
  </si>
  <si>
    <t>Off-net fixed to fixed traffic</t>
  </si>
  <si>
    <t>State of the ICT Sector Data</t>
  </si>
  <si>
    <t xml:space="preserve">Source: 2021 State of the ICT Sector Report </t>
  </si>
  <si>
    <r>
      <rPr>
        <b/>
        <sz val="11"/>
        <rFont val="Calibri"/>
        <family val="2"/>
        <scheme val="minor"/>
      </rPr>
      <t>Note:</t>
    </r>
    <r>
      <rPr>
        <sz val="11"/>
        <rFont val="Calibri"/>
        <family val="2"/>
        <scheme val="minor"/>
      </rPr>
      <t xml:space="preserve"> All Graphs with annual figures are for the 12 months ending 30 September each year </t>
    </r>
  </si>
  <si>
    <t>Graph 7: Telecommunications Revenue</t>
  </si>
  <si>
    <t xml:space="preserve">page 18 </t>
  </si>
  <si>
    <t xml:space="preserve">Total telecommunication revenue </t>
  </si>
  <si>
    <t xml:space="preserve">Total mobile services revenue (Rm) </t>
  </si>
  <si>
    <t>Total of any other revenue</t>
  </si>
  <si>
    <t xml:space="preserve">Total fixed internet and data revenue </t>
  </si>
  <si>
    <t xml:space="preserve">Total fixed line revenue </t>
  </si>
  <si>
    <t>Graph 8: Mobile services revenue</t>
  </si>
  <si>
    <t xml:space="preserve">page 19 </t>
  </si>
  <si>
    <t xml:space="preserve">Revenue from mobile data services </t>
  </si>
  <si>
    <t>Revenue from voice services</t>
  </si>
  <si>
    <t xml:space="preserve">Other mobile services revenue </t>
  </si>
  <si>
    <t xml:space="preserve">Revenue from text and MMS </t>
  </si>
  <si>
    <t>Revenue from outbound roaming (R)</t>
  </si>
  <si>
    <t>Graph 9: Fixed internet and data revenue</t>
  </si>
  <si>
    <t xml:space="preserve">page 20 </t>
  </si>
  <si>
    <t xml:space="preserve">Revenue from fixed (wired) broadband services </t>
  </si>
  <si>
    <t>Fixed Internet Revenue ®</t>
  </si>
  <si>
    <t xml:space="preserve">Other telecommunication services revenue, including leased lines revenue and fixed value-added telecommunication services </t>
  </si>
  <si>
    <t xml:space="preserve">Other wireless-broadband services revenue </t>
  </si>
  <si>
    <t xml:space="preserve">Graph 10: Total Fixed Line Revenue </t>
  </si>
  <si>
    <t>page 21</t>
  </si>
  <si>
    <t>Total fixed line revenue</t>
  </si>
  <si>
    <t>Revenue from fixed-telephone subscription changes</t>
  </si>
  <si>
    <t xml:space="preserve">Revenue from fixed-telephone calls </t>
  </si>
  <si>
    <t xml:space="preserve">Revenue from retail fixed-telephone services </t>
  </si>
  <si>
    <t xml:space="preserve">Graph 11: Prepaid mobile voice, data and messaging revenue </t>
  </si>
  <si>
    <t>page 22</t>
  </si>
  <si>
    <t xml:space="preserve">Prepaid revenue mobile voice </t>
  </si>
  <si>
    <t>Prepaid revenue mobile data</t>
  </si>
  <si>
    <t xml:space="preserve">Prepaid revenue mobile messaging </t>
  </si>
  <si>
    <t xml:space="preserve">Graph 15: National Population coverage for 3G, 4G/LTE and 5G </t>
  </si>
  <si>
    <t>3G Population Coverage</t>
  </si>
  <si>
    <t>4G/LTE Population Coverage</t>
  </si>
  <si>
    <t>5G Coverage</t>
  </si>
  <si>
    <t xml:space="preserve">Graph 18: Mobile Cellular and Smartphone Subscriptions </t>
  </si>
  <si>
    <t>page 32</t>
  </si>
  <si>
    <t xml:space="preserve">Mobile cellular subscriptions </t>
  </si>
  <si>
    <t>Smartphone subscriptions</t>
  </si>
  <si>
    <t>Graph 23: Prepaid and post-paid mobile cellular voice subscriptions</t>
  </si>
  <si>
    <t>page 37</t>
  </si>
  <si>
    <t>Total mobile cellular subscriptions</t>
  </si>
  <si>
    <t xml:space="preserve">Prepaid mobile-cellular telephone subscriptions </t>
  </si>
  <si>
    <t xml:space="preserve">Postpaid mobile-cellular telephone subscriptions </t>
  </si>
  <si>
    <t xml:space="preserve">Graph 24: Mobile cellular active subscriptions (Active for more than 90 days) </t>
  </si>
  <si>
    <t xml:space="preserve">page 38 </t>
  </si>
  <si>
    <t xml:space="preserve">Mobile cellular active subscriptions </t>
  </si>
  <si>
    <t xml:space="preserve">Graph 27: Fixed broadband subscriptions </t>
  </si>
  <si>
    <t>page 41</t>
  </si>
  <si>
    <t xml:space="preserve">Fixed broadband subscriptions </t>
  </si>
  <si>
    <t xml:space="preserve">Fibre-to-the-home/building Internet subscriptions </t>
  </si>
  <si>
    <t>DSL internet subscriptions</t>
  </si>
  <si>
    <t xml:space="preserve">Other fixed (wired) - broadband subscriptions </t>
  </si>
  <si>
    <t>Graph 30: Fixed line traffic, in minutes, for the 12 month period ending 30 September each year</t>
  </si>
  <si>
    <t>page 44</t>
  </si>
  <si>
    <t xml:space="preserve">Total fixed line traffic </t>
  </si>
  <si>
    <t>Local fixed-to-fixed telephone traffic, in minutes</t>
  </si>
  <si>
    <t>Long-distance fixed-to-fixed telephone traffic, in minutes</t>
  </si>
  <si>
    <t xml:space="preserve">Graph 31: Fixed-to-mobile telephone traffic minutes </t>
  </si>
  <si>
    <t xml:space="preserve">page 45 </t>
  </si>
  <si>
    <t xml:space="preserve">ITU Data on Traffic Volumes </t>
  </si>
  <si>
    <t xml:space="preserve">Source: ITU Datahub </t>
  </si>
  <si>
    <t xml:space="preserve">https://datahub.itu.int/data/?id=2&amp;e=ZAF&amp;i=54 </t>
  </si>
  <si>
    <t xml:space="preserve">Domestic Fixed to fixed telephone traffic </t>
  </si>
  <si>
    <t>Fixed to Mobile Telephone traffic</t>
  </si>
  <si>
    <t xml:space="preserve">International incoming fixed telephone traffic </t>
  </si>
  <si>
    <t>International outgoing fixed telephone traffic</t>
  </si>
  <si>
    <t xml:space="preserve">International incoming and outgoing fixed-telephone traffic </t>
  </si>
  <si>
    <t>Outgoing mobile traffic to fixed networks</t>
  </si>
  <si>
    <t>Note: 2018 fixed to fixed traffic of 15099900000 appears to be an outlier and so the average of 2019 and 2017 were used.</t>
  </si>
  <si>
    <t>Note: 2018 traffic appear to be low and may not reflect all the changes in new fibre operators, so increased volumes by:</t>
  </si>
  <si>
    <t>Note: 2020 traffic appear to be low and may not reflect all the changes in new fibre operators, so increased volumes by:</t>
  </si>
  <si>
    <t>Note: 2021 traffic appear to be low and may not reflect all the changes in new fibre operators, so increased volumes by:</t>
  </si>
  <si>
    <t>Core network element costs</t>
  </si>
  <si>
    <t>Capex price trend</t>
  </si>
  <si>
    <t>Opex price trend</t>
  </si>
  <si>
    <t>Opex price index</t>
  </si>
  <si>
    <t>Opex as a % of capex</t>
  </si>
  <si>
    <t>Core network elements - unit capital expenditure costs</t>
  </si>
  <si>
    <t>unit_costs_core_capex</t>
  </si>
  <si>
    <t>Core network elements - unit operating costs</t>
  </si>
  <si>
    <t>unit_costs_core_opex</t>
  </si>
  <si>
    <t>Macroeconomic data</t>
  </si>
  <si>
    <t>Country</t>
  </si>
  <si>
    <t>Subject Descriptor</t>
  </si>
  <si>
    <t>South Africa</t>
  </si>
  <si>
    <t>Headline CPI (YoY rates)</t>
  </si>
  <si>
    <t>Source</t>
  </si>
  <si>
    <t>StatsSA (2013-2022)</t>
  </si>
  <si>
    <t>https://www.statssa.gov.za/publications/P0141/CPIHistory.pdf?</t>
  </si>
  <si>
    <t>SARB (2023-2025)</t>
  </si>
  <si>
    <t xml:space="preserve">2026-2048: Assumed the SARB's steady state of 4.5% </t>
  </si>
  <si>
    <t>Assume SARB's annual forecasts are average rates.</t>
  </si>
  <si>
    <t>Risk free rate</t>
  </si>
  <si>
    <t>Tenure</t>
  </si>
  <si>
    <t>91 days</t>
  </si>
  <si>
    <t>Treasury bill</t>
  </si>
  <si>
    <t>364-day</t>
  </si>
  <si>
    <t>3-5 years (average bond yields)</t>
  </si>
  <si>
    <t>Bonds</t>
  </si>
  <si>
    <t>5-10 years (average bond yields)</t>
  </si>
  <si>
    <t>10 years and longer (average bond yields)</t>
  </si>
  <si>
    <t>SARB: Treasury and bond yields</t>
  </si>
  <si>
    <t>https://www.resbank.co.za/en/home/what-we-do/statistics/key-statistics/current-market-rates</t>
  </si>
  <si>
    <t>Treasury yields as at 20/02/2023</t>
  </si>
  <si>
    <t>Bond yields as at 21/02/2023</t>
  </si>
  <si>
    <t>Average annual exchange rate</t>
  </si>
  <si>
    <t>USD/ZAR</t>
  </si>
  <si>
    <t>GBP/ZAR</t>
  </si>
  <si>
    <t>EUR/ZAR</t>
  </si>
  <si>
    <t>Compound Annual Growth Rate (USD/ZAR)</t>
  </si>
  <si>
    <t>2026-2030</t>
  </si>
  <si>
    <t>2031-2035</t>
  </si>
  <si>
    <t>Compound Annual Growth Rate (GBP/ZAR)</t>
  </si>
  <si>
    <t>Compound Annual Growth Rate (EUR/ZAR)</t>
  </si>
  <si>
    <t>We assume the exchange rates for 2036-2048 will take on a steady state value equal to the exchange rate as at 2035.</t>
  </si>
  <si>
    <t>Annualising Investec's average exchange rate figures</t>
  </si>
  <si>
    <t>Q1</t>
  </si>
  <si>
    <t>Q2</t>
  </si>
  <si>
    <t>Q3</t>
  </si>
  <si>
    <t>Q4</t>
  </si>
  <si>
    <t>USD/ZAR (Investec)</t>
  </si>
  <si>
    <t>Annual rate</t>
  </si>
  <si>
    <t>GBP/ZAR (Investec)</t>
  </si>
  <si>
    <t>EUR/ZAR (Investec)</t>
  </si>
  <si>
    <t>2013-2022 average annual exchange rates were derived from the SARB's daily exchange rate data</t>
  </si>
  <si>
    <t>https://www,resbank,co,za/en/home/what-we-do/statistics/key-statistics/selected-historical-rates</t>
  </si>
  <si>
    <t>2023-2025 rates are from Investec.</t>
  </si>
  <si>
    <t>2026-2030: We assume the exchange rate grows at the same compounding annual growth rate over the 2018-2025 period (7 years).</t>
  </si>
  <si>
    <t>2031-2035: We assume the growth rate for this period to be half that of the 2026-2030 period.</t>
  </si>
  <si>
    <t>Lists</t>
  </si>
  <si>
    <t>growth_scenarios</t>
  </si>
  <si>
    <t>Low growth scenario</t>
  </si>
  <si>
    <t>High growth scenario</t>
  </si>
  <si>
    <t>years</t>
  </si>
  <si>
    <t>Operator Confidential Data</t>
  </si>
  <si>
    <t>[Placeholder for operator data]</t>
  </si>
  <si>
    <t>Currency scenario</t>
  </si>
  <si>
    <t>Low scenario</t>
  </si>
  <si>
    <t>Currency_scenario</t>
  </si>
  <si>
    <t>Base scenario</t>
  </si>
  <si>
    <t>High scenario</t>
  </si>
  <si>
    <t>Incoming fixed to fixed traffic</t>
  </si>
  <si>
    <t>Bottom-up long-run incremental cost model - fixed</t>
  </si>
  <si>
    <t>Pure LRIC termination cost</t>
  </si>
  <si>
    <t>Assets</t>
  </si>
  <si>
    <t>Revenues</t>
  </si>
  <si>
    <t>In this tab, the revenue outcomes from the tariffs and tariff profile are computed.</t>
  </si>
  <si>
    <t>Pure LRIC revenues</t>
  </si>
  <si>
    <t>PV of pure LRIC revenues</t>
  </si>
  <si>
    <t>PV of pure LRIC revenues - total</t>
  </si>
  <si>
    <t>lric_revenues</t>
  </si>
  <si>
    <t>Network operating expenditure and depreciation</t>
  </si>
  <si>
    <t>Depreciation</t>
  </si>
  <si>
    <t>Total network operating expenditure plus depreciation</t>
  </si>
  <si>
    <t>The historical and book value of the assets purchased in each year are shown here.</t>
  </si>
  <si>
    <t>Opening value</t>
  </si>
  <si>
    <t>Purchases</t>
  </si>
  <si>
    <t>Value during year</t>
  </si>
  <si>
    <t>Depreciation - straight line</t>
  </si>
  <si>
    <t>Closing value</t>
  </si>
  <si>
    <t>depreciation_straightline</t>
  </si>
  <si>
    <t>PV</t>
  </si>
  <si>
    <t>Asset beta</t>
  </si>
  <si>
    <t>Nominal WACC - post-tax</t>
  </si>
  <si>
    <t>Company tax rate</t>
  </si>
  <si>
    <t>Risk free rate in SA - 10 year government bond</t>
  </si>
  <si>
    <t>South Africa — Orbitax Corporate Tax Rates</t>
  </si>
  <si>
    <t xml:space="preserve">The tax rate dropped on 1 August 2022. </t>
  </si>
  <si>
    <r>
      <t xml:space="preserve">South Africa 10 Years Bond - Historical Data - </t>
    </r>
    <r>
      <rPr>
        <b/>
        <i/>
        <u/>
        <sz val="11"/>
        <color theme="10"/>
        <rFont val="Calibri"/>
        <family val="2"/>
        <scheme val="minor"/>
      </rPr>
      <t>http://www.worldgovernmentbonds.com/bond-historical-data/south-africa/10-years/</t>
    </r>
  </si>
  <si>
    <t xml:space="preserve">This is a header tab and has been left blank intentionally. </t>
  </si>
  <si>
    <t>https://www.resbank.co.za/content/dam/sarb/publications/statements/monetary-policy-statements/2023/september/Forecast%20September%202023.pdf</t>
  </si>
  <si>
    <t>https://www.investec.com/content/dam/south-africa/content-hub/annabel-bishop/rand-note/Rand-note-9-Oct-2023.pdf</t>
  </si>
  <si>
    <t>Debt premium</t>
  </si>
  <si>
    <t>Equity beta</t>
  </si>
  <si>
    <t>Equity rsk premium</t>
  </si>
  <si>
    <t>Cost of debt - nominal pre-tax</t>
  </si>
  <si>
    <t>Cost of equity - nominal post-tax</t>
  </si>
  <si>
    <t>Operator data</t>
  </si>
  <si>
    <t>Asset table B: Incremental assets added at beginning of each year - capex</t>
  </si>
  <si>
    <t>Asset Table C: Assets fully depreciated during the year</t>
  </si>
  <si>
    <t>Asset Table D: Net assets after depreciation at end of year</t>
  </si>
  <si>
    <t>Asset Table E: Assets active during the year for opex</t>
  </si>
  <si>
    <t>Asset table A: Asset demand in each year</t>
  </si>
  <si>
    <t>This is calculated by subtracting assets available from the previous year (calculated below in Asset table C) from assets demanded calculated above in Asset Table A</t>
  </si>
  <si>
    <t>This is calculated by looking up asset purchased the number of years equal to the economic life of the asset prior to the present year.</t>
  </si>
  <si>
    <t>This is calculated by adding assets at the end of the previous year (this table) to assets procured at the beginning of the year (Table B) and subtracting depreciated assets (Table C):</t>
  </si>
  <si>
    <t>This is computed by adding net assets available after depreciation at end of prior year (Table D) to assets added at the beginning of the current year (Table B)</t>
  </si>
  <si>
    <t>core_number_opex</t>
  </si>
  <si>
    <t>core_number_noincoming_voice_opex</t>
  </si>
  <si>
    <t>core_increm_noincoming_capex</t>
  </si>
  <si>
    <t>core_increm_capex</t>
  </si>
  <si>
    <t>C Incoming only</t>
  </si>
  <si>
    <t>C incoming only</t>
  </si>
  <si>
    <t>core_number_incoming_only_opex</t>
  </si>
  <si>
    <t>B No incoming</t>
  </si>
  <si>
    <t>C Incoming Only</t>
  </si>
  <si>
    <t>core_increm_incoming_only_capex</t>
  </si>
  <si>
    <t>Capex price index</t>
  </si>
  <si>
    <t>capex_price_trend</t>
  </si>
  <si>
    <t>capex_price_index</t>
  </si>
  <si>
    <t>opex_price_index</t>
  </si>
  <si>
    <t>The rate on 31 December was used for 2018-2022 and the rate on 24 August was used for 2023. 
The 2023 rate was assumed to apply to the remaining years.</t>
  </si>
  <si>
    <t>wacc_nom_pretax</t>
  </si>
  <si>
    <t>wacc_real_pretax</t>
  </si>
  <si>
    <t>core_costs_opex</t>
  </si>
  <si>
    <t>core_costs_opex_noincoming</t>
  </si>
  <si>
    <t>core_costs_opex_incoming_only</t>
  </si>
  <si>
    <t>Total Core Capex</t>
  </si>
  <si>
    <t>Total Core Opex</t>
  </si>
  <si>
    <t>total_costs_core_capex</t>
  </si>
  <si>
    <t>total_costs_core_opex</t>
  </si>
  <si>
    <t>core_costs_capex</t>
  </si>
  <si>
    <t>6 - Termination</t>
  </si>
  <si>
    <t>Volumes</t>
  </si>
  <si>
    <t>core_costs_capex_discounted</t>
  </si>
  <si>
    <t>Discounted opex costs</t>
  </si>
  <si>
    <t>Discounted costs capex</t>
  </si>
  <si>
    <t>core_costs_opex_discounted</t>
  </si>
  <si>
    <t>core_costs_capex_discounted_pv</t>
  </si>
  <si>
    <t>core_costs_opex_discounted_pv</t>
  </si>
  <si>
    <t>Discounted capex / wacc index</t>
  </si>
  <si>
    <t>Discounted OPEX</t>
  </si>
  <si>
    <t>CAPEX Vols</t>
  </si>
  <si>
    <t>CAPEX Price Indexed volumes</t>
  </si>
  <si>
    <t>volume_ed_capex</t>
  </si>
  <si>
    <t>Capex revenues</t>
  </si>
  <si>
    <t>volume_ed_opex</t>
  </si>
  <si>
    <t>Opex revenues</t>
  </si>
  <si>
    <t>core_costs_incoming_only</t>
  </si>
  <si>
    <t>core_costs_incoming_only_discounted_pv</t>
  </si>
  <si>
    <t>core_costs_opex_incomingonly_discounted_pv</t>
  </si>
  <si>
    <t>Pure LRIC Termination cost</t>
  </si>
  <si>
    <t>opex_tariff</t>
  </si>
  <si>
    <t>capex_tariff</t>
  </si>
  <si>
    <t>pure_lric</t>
  </si>
  <si>
    <t>REVENUE CHECK</t>
  </si>
  <si>
    <t>CAPEX tariff</t>
  </si>
  <si>
    <t>OPEX tariff</t>
  </si>
  <si>
    <t>pv_opex_volumes</t>
  </si>
  <si>
    <t>pv_capex_volumes</t>
  </si>
  <si>
    <t>Check</t>
  </si>
  <si>
    <t>Discounted Revenues = starting capex and opex</t>
  </si>
  <si>
    <t>Discounted revenues</t>
  </si>
  <si>
    <t>Discounted costs</t>
  </si>
  <si>
    <t>Stakeholder submission</t>
  </si>
  <si>
    <t>Source: Operator submission</t>
  </si>
  <si>
    <t xml:space="preserve">Discounted opex/ wacc index </t>
  </si>
  <si>
    <t>Discounted capex revenues</t>
  </si>
  <si>
    <t>Discounted opex revenues</t>
  </si>
  <si>
    <t>Termination rate x volumes</t>
  </si>
  <si>
    <t>Opex revenue + Capex revenues</t>
  </si>
  <si>
    <t>Step 2a - Network inputs for conversion of demand volumes to common network usage metrics</t>
  </si>
  <si>
    <t>Then, we calculate calls per hour for calls including an on-net factor (for CSCF)</t>
  </si>
  <si>
    <t>Calls per second / concurrent sessions - MRF, access SBC</t>
  </si>
  <si>
    <t xml:space="preserve">Concurrent sessions </t>
  </si>
  <si>
    <t>Exchange rate (EUR/ZAR) -depreciation</t>
  </si>
  <si>
    <t>Average</t>
  </si>
  <si>
    <t>Opex adjustment factor</t>
  </si>
  <si>
    <t>Opex adjustment index</t>
  </si>
  <si>
    <t>opex_factor_index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</si>
</sst>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0.00_);_(* \(#,##0.00\);_(* &quot;-&quot;??_);_(@_)"/>
    <numFmt numFmtId="165" formatCode="0.0"/>
    <numFmt numFmtId="166" formatCode="_-* #,##0_-;\-* #,##0_-;_-* &quot;-&quot;??_-;_-@_-"/>
    <numFmt numFmtId="167" formatCode="0.0%"/>
    <numFmt numFmtId="168" formatCode="_-* #,##0_-;\-* #,##0_-;_-* &quot;-&quot;?_-;_-@_-"/>
    <numFmt numFmtId="169" formatCode="_-* #,##0.0_-;\-* #,##0.0_-;_-* &quot;-&quot;??_-;_-@_-"/>
    <numFmt numFmtId="170" formatCode="_-* #,##0.0_-;\-* #,##0.0_-;_-* &quot;-&quot;?_-;_-@_-"/>
    <numFmt numFmtId="171" formatCode="_-* #,##0_-;\-* #,##0_-;_-* &quot;-&quot;???_-;_-@_-"/>
    <numFmt numFmtId="172" formatCode="* _(#,##0_);[Red]* \(#,##0\);* _(&quot;-&quot;?_);@_)"/>
    <numFmt numFmtId="173" formatCode="#,##0_);[Red]\-#,##0_);0_);@_)"/>
    <numFmt numFmtId="174" formatCode="0.0000%"/>
    <numFmt numFmtId="175" formatCode="_-[$R-1C09]* #,##0.00_-;\-[$R-1C09]* #,##0.00_-;_-[$R-1C09]* &quot;-&quot;??_-;_-@_-"/>
    <numFmt numFmtId="176" formatCode="_-* #,##0.0000_-;\-* #,##0.0000_-;_-* &quot;-&quot;??_-;_-@_-"/>
    <numFmt numFmtId="177" formatCode="_-[$R-1C09]* #,##0_-;\-[$R-1C09]* #,##0_-;_-[$R-1C09]* &quot;-&quot;??_-;_-@_-"/>
    <numFmt numFmtId="178" formatCode="_-* #,##0.000_-;\-* #,##0.000_-;_-* &quot;-&quot;??_-;_-@_-"/>
    <numFmt numFmtId="179" formatCode="0.00000"/>
    <numFmt numFmtId="180" formatCode="_-* #,##0.00000_-;\-* #,##0.00000_-;_-* &quot;-&quot;??_-;_-@_-"/>
    <numFmt numFmtId="181" formatCode="0.0000"/>
    <numFmt numFmtId="182" formatCode="0.000"/>
  </numFmts>
  <fonts count="34" x14ac:knownFonts="1">
    <font>
      <sz val="11"/>
      <color theme="1"/>
      <name val="Calibri"/>
      <family val="2"/>
      <scheme val="minor"/>
    </font>
    <font>
      <sz val="8"/>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1"/>
      <name val="Calibri"/>
      <family val="2"/>
      <scheme val="minor"/>
    </font>
    <font>
      <i/>
      <sz val="11"/>
      <color rgb="FFFF0000"/>
      <name val="Calibri"/>
      <family val="2"/>
      <scheme val="minor"/>
    </font>
    <font>
      <i/>
      <sz val="11"/>
      <color theme="9" tint="-0.249977111117893"/>
      <name val="Calibri"/>
      <family val="2"/>
      <scheme val="minor"/>
    </font>
    <font>
      <b/>
      <i/>
      <sz val="11"/>
      <color theme="1"/>
      <name val="Calibri"/>
      <family val="2"/>
      <scheme val="minor"/>
    </font>
    <font>
      <sz val="10"/>
      <color theme="1"/>
      <name val="Arial"/>
      <family val="2"/>
    </font>
    <font>
      <b/>
      <sz val="11"/>
      <name val="Calibri"/>
      <family val="2"/>
      <scheme val="minor"/>
    </font>
    <font>
      <sz val="9"/>
      <name val="Arial"/>
      <family val="2"/>
    </font>
    <font>
      <b/>
      <sz val="14"/>
      <name val="Arial"/>
      <family val="2"/>
    </font>
    <font>
      <b/>
      <sz val="9"/>
      <name val="Arial"/>
      <family val="2"/>
    </font>
    <font>
      <b/>
      <i/>
      <sz val="11"/>
      <color rgb="FFFF0000"/>
      <name val="Calibri"/>
      <family val="2"/>
      <scheme val="minor"/>
    </font>
    <font>
      <b/>
      <sz val="11"/>
      <color rgb="FF000000"/>
      <name val="Calibri"/>
      <family val="2"/>
      <scheme val="minor"/>
    </font>
    <font>
      <sz val="11"/>
      <color rgb="FF000000"/>
      <name val="Calibri"/>
      <family val="2"/>
      <scheme val="minor"/>
    </font>
    <font>
      <sz val="11"/>
      <color theme="9"/>
      <name val="Calibri"/>
      <family val="2"/>
      <scheme val="minor"/>
    </font>
    <font>
      <b/>
      <sz val="11"/>
      <color rgb="FFFF0000"/>
      <name val="Calibri"/>
      <family val="2"/>
      <scheme val="minor"/>
    </font>
    <font>
      <i/>
      <sz val="11"/>
      <name val="Calibri"/>
      <family val="2"/>
      <scheme val="minor"/>
    </font>
    <font>
      <b/>
      <sz val="14"/>
      <name val="Calibri"/>
      <family val="2"/>
      <scheme val="minor"/>
    </font>
    <font>
      <b/>
      <sz val="14"/>
      <color theme="1"/>
      <name val="Calibri"/>
      <family val="2"/>
      <scheme val="minor"/>
    </font>
    <font>
      <sz val="14"/>
      <color theme="1"/>
      <name val="Calibri"/>
      <family val="2"/>
      <scheme val="minor"/>
    </font>
    <font>
      <sz val="9"/>
      <name val="Calibri"/>
      <family val="2"/>
      <scheme val="minor"/>
    </font>
    <font>
      <b/>
      <sz val="9"/>
      <name val="Calibri"/>
      <family val="2"/>
      <scheme val="minor"/>
    </font>
    <font>
      <b/>
      <sz val="16"/>
      <name val="Calibri"/>
      <family val="2"/>
      <scheme val="minor"/>
    </font>
    <font>
      <b/>
      <sz val="13"/>
      <color theme="1"/>
      <name val="Calibri"/>
      <family val="2"/>
      <scheme val="minor"/>
    </font>
    <font>
      <b/>
      <i/>
      <sz val="11"/>
      <color rgb="FF000000"/>
      <name val="Calibri"/>
      <family val="2"/>
      <scheme val="minor"/>
    </font>
    <font>
      <i/>
      <u/>
      <sz val="11"/>
      <color theme="10"/>
      <name val="Calibri"/>
      <family val="2"/>
      <scheme val="minor"/>
    </font>
    <font>
      <b/>
      <i/>
      <u/>
      <sz val="11"/>
      <color theme="10"/>
      <name val="Calibri"/>
      <family val="2"/>
      <scheme val="minor"/>
    </font>
  </fonts>
  <fills count="16">
    <fill>
      <patternFill patternType="none"/>
    </fill>
    <fill>
      <patternFill patternType="gray125"/>
    </fill>
    <fill>
      <patternFill patternType="solid">
        <fgColor rgb="FFFF0000"/>
        <bgColor indexed="64"/>
      </patternFill>
    </fill>
    <fill>
      <patternFill patternType="solid">
        <fgColor theme="9" tint="0.59999389629810485"/>
        <bgColor indexed="64"/>
      </patternFill>
    </fill>
    <fill>
      <patternFill patternType="solid">
        <fgColor indexed="42"/>
        <bgColor indexed="64"/>
      </patternFill>
    </fill>
    <fill>
      <patternFill patternType="solid">
        <fgColor indexed="11"/>
        <bgColor indexed="64"/>
      </patternFill>
    </fill>
    <fill>
      <patternFill patternType="solid">
        <fgColor indexed="13"/>
        <bgColor indexed="64"/>
      </patternFill>
    </fill>
    <fill>
      <patternFill patternType="solid">
        <fgColor indexed="13"/>
        <bgColor indexed="15"/>
      </patternFill>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92D05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57"/>
      </left>
      <right style="thin">
        <color indexed="57"/>
      </right>
      <top style="thin">
        <color indexed="57"/>
      </top>
      <bottom style="thin">
        <color indexed="57"/>
      </bottom>
      <diagonal/>
    </border>
    <border>
      <left style="thin">
        <color indexed="64"/>
      </left>
      <right style="thin">
        <color indexed="64"/>
      </right>
      <top style="thin">
        <color indexed="64"/>
      </top>
      <bottom/>
      <diagonal/>
    </border>
    <border>
      <left style="dotted">
        <color indexed="57"/>
      </left>
      <right style="dotted">
        <color indexed="57"/>
      </right>
      <top style="dotted">
        <color indexed="57"/>
      </top>
      <bottom style="dotted">
        <color indexed="57"/>
      </bottom>
      <diagonal/>
    </border>
  </borders>
  <cellStyleXfs count="16">
    <xf numFmtId="0" fontId="0" fillId="0" borderId="0"/>
    <xf numFmtId="43" fontId="3" fillId="0" borderId="0" applyFon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xf numFmtId="38" fontId="13" fillId="0" borderId="15">
      <alignment vertical="center"/>
      <protection locked="0"/>
    </xf>
    <xf numFmtId="0" fontId="15" fillId="4" borderId="0" applyNumberFormat="0" applyAlignment="0">
      <alignment vertical="center"/>
    </xf>
    <xf numFmtId="0" fontId="15" fillId="0" borderId="15" applyNumberFormat="0" applyAlignment="0">
      <alignment vertical="center"/>
      <protection locked="0"/>
    </xf>
    <xf numFmtId="172" fontId="15" fillId="0" borderId="0" applyFont="0" applyFill="0" applyBorder="0" applyAlignment="0" applyProtection="0">
      <alignment vertical="center"/>
    </xf>
    <xf numFmtId="0" fontId="15" fillId="6" borderId="0" applyNumberFormat="0" applyFont="0" applyBorder="0" applyAlignment="0" applyProtection="0">
      <alignment vertical="center"/>
    </xf>
    <xf numFmtId="0" fontId="15" fillId="0" borderId="17" applyNumberFormat="0" applyAlignment="0">
      <alignment vertical="center"/>
    </xf>
    <xf numFmtId="173" fontId="15" fillId="7" borderId="15" applyNumberFormat="0" applyAlignment="0">
      <alignment vertical="center"/>
      <protection locked="0"/>
    </xf>
    <xf numFmtId="0" fontId="15" fillId="5" borderId="0" applyNumberFormat="0" applyAlignment="0">
      <alignment vertical="center"/>
    </xf>
    <xf numFmtId="0" fontId="16" fillId="0" borderId="0" applyNumberFormat="0" applyFill="0" applyBorder="0" applyAlignment="0" applyProtection="0">
      <alignment vertical="center"/>
    </xf>
    <xf numFmtId="0" fontId="17" fillId="8" borderId="0" applyNumberFormat="0">
      <alignment horizontal="center" vertical="top" wrapText="1"/>
    </xf>
    <xf numFmtId="172" fontId="15" fillId="0" borderId="0" applyFont="0" applyFill="0" applyBorder="0" applyAlignment="0" applyProtection="0">
      <alignment vertical="center"/>
    </xf>
    <xf numFmtId="164" fontId="3" fillId="0" borderId="0" applyFont="0" applyFill="0" applyBorder="0" applyAlignment="0" applyProtection="0"/>
  </cellStyleXfs>
  <cellXfs count="262">
    <xf numFmtId="0" fontId="0" fillId="0" borderId="0" xfId="0"/>
    <xf numFmtId="0" fontId="2" fillId="0" borderId="0" xfId="0" applyFont="1"/>
    <xf numFmtId="0" fontId="4" fillId="0" borderId="0" xfId="0" applyFont="1"/>
    <xf numFmtId="2" fontId="0" fillId="0" borderId="9" xfId="0" applyNumberFormat="1" applyBorder="1"/>
    <xf numFmtId="166" fontId="0" fillId="0" borderId="9" xfId="0" applyNumberFormat="1" applyBorder="1"/>
    <xf numFmtId="166" fontId="0" fillId="0" borderId="9" xfId="1" applyNumberFormat="1" applyFont="1" applyBorder="1"/>
    <xf numFmtId="0" fontId="10" fillId="0" borderId="0" xfId="0" applyFont="1"/>
    <xf numFmtId="0" fontId="0" fillId="0" borderId="9" xfId="0" applyBorder="1"/>
    <xf numFmtId="9" fontId="0" fillId="2" borderId="9" xfId="0" applyNumberFormat="1" applyFill="1" applyBorder="1"/>
    <xf numFmtId="0" fontId="0" fillId="2" borderId="9" xfId="0" applyFill="1" applyBorder="1"/>
    <xf numFmtId="166" fontId="0" fillId="0" borderId="9" xfId="1" applyNumberFormat="1" applyFont="1" applyFill="1" applyBorder="1"/>
    <xf numFmtId="0" fontId="7" fillId="9" borderId="0" xfId="0" applyFont="1" applyFill="1" applyAlignment="1">
      <alignment vertical="center"/>
    </xf>
    <xf numFmtId="0" fontId="0" fillId="9" borderId="0" xfId="0" applyFill="1"/>
    <xf numFmtId="0" fontId="10" fillId="9" borderId="0" xfId="0" applyFont="1" applyFill="1" applyAlignment="1">
      <alignment wrapText="1"/>
    </xf>
    <xf numFmtId="0" fontId="4" fillId="9" borderId="9" xfId="0" applyFont="1" applyFill="1" applyBorder="1"/>
    <xf numFmtId="0" fontId="10" fillId="9" borderId="0" xfId="0" applyFont="1" applyFill="1"/>
    <xf numFmtId="166" fontId="0" fillId="9" borderId="9" xfId="0" applyNumberFormat="1" applyFill="1" applyBorder="1"/>
    <xf numFmtId="0" fontId="0" fillId="9" borderId="9" xfId="0" applyFill="1" applyBorder="1"/>
    <xf numFmtId="0" fontId="9" fillId="9" borderId="0" xfId="0" applyFont="1" applyFill="1"/>
    <xf numFmtId="0" fontId="6" fillId="9" borderId="0" xfId="3" applyFill="1"/>
    <xf numFmtId="0" fontId="6" fillId="9" borderId="0" xfId="3" applyFill="1" applyBorder="1"/>
    <xf numFmtId="0" fontId="4" fillId="9" borderId="0" xfId="0" applyFont="1" applyFill="1"/>
    <xf numFmtId="0" fontId="4" fillId="9" borderId="11" xfId="0" applyFont="1" applyFill="1" applyBorder="1"/>
    <xf numFmtId="166" fontId="0" fillId="9" borderId="0" xfId="0" applyNumberFormat="1" applyFill="1"/>
    <xf numFmtId="10" fontId="0" fillId="9" borderId="0" xfId="0" applyNumberFormat="1" applyFill="1"/>
    <xf numFmtId="10" fontId="0" fillId="9" borderId="9" xfId="0" applyNumberFormat="1" applyFill="1" applyBorder="1"/>
    <xf numFmtId="166" fontId="0" fillId="9" borderId="9" xfId="1" applyNumberFormat="1" applyFont="1" applyFill="1" applyBorder="1"/>
    <xf numFmtId="0" fontId="24" fillId="10" borderId="0" xfId="0" applyFont="1" applyFill="1" applyAlignment="1">
      <alignment vertical="center"/>
    </xf>
    <xf numFmtId="0" fontId="7" fillId="10" borderId="0" xfId="0" applyFont="1" applyFill="1" applyAlignment="1">
      <alignment vertical="center"/>
    </xf>
    <xf numFmtId="0" fontId="4" fillId="10" borderId="9" xfId="0" applyFont="1" applyFill="1" applyBorder="1"/>
    <xf numFmtId="0" fontId="4" fillId="10" borderId="11" xfId="0" applyFont="1" applyFill="1" applyBorder="1"/>
    <xf numFmtId="0" fontId="4" fillId="10" borderId="9" xfId="0" applyFont="1" applyFill="1" applyBorder="1" applyAlignment="1">
      <alignment wrapText="1"/>
    </xf>
    <xf numFmtId="10" fontId="4" fillId="10" borderId="9" xfId="0" applyNumberFormat="1" applyFont="1" applyFill="1" applyBorder="1" applyAlignment="1">
      <alignment wrapText="1"/>
    </xf>
    <xf numFmtId="0" fontId="0" fillId="9" borderId="11" xfId="0" applyFill="1" applyBorder="1"/>
    <xf numFmtId="0" fontId="4" fillId="9" borderId="1" xfId="0" applyFont="1" applyFill="1" applyBorder="1"/>
    <xf numFmtId="0" fontId="0" fillId="9" borderId="2" xfId="0" applyFill="1" applyBorder="1"/>
    <xf numFmtId="0" fontId="0" fillId="9" borderId="3" xfId="0" applyFill="1" applyBorder="1"/>
    <xf numFmtId="0" fontId="0" fillId="9" borderId="4" xfId="0" applyFill="1" applyBorder="1"/>
    <xf numFmtId="0" fontId="0" fillId="9" borderId="5" xfId="0" applyFill="1" applyBorder="1"/>
    <xf numFmtId="0" fontId="0" fillId="9" borderId="0" xfId="0" applyFill="1" applyAlignment="1">
      <alignment wrapText="1"/>
    </xf>
    <xf numFmtId="0" fontId="0" fillId="9" borderId="10" xfId="0" applyFill="1" applyBorder="1"/>
    <xf numFmtId="0" fontId="0" fillId="9" borderId="9" xfId="0" applyFill="1" applyBorder="1" applyAlignment="1">
      <alignment wrapText="1"/>
    </xf>
    <xf numFmtId="0" fontId="0" fillId="9" borderId="4" xfId="0" applyFill="1" applyBorder="1" applyAlignment="1">
      <alignment wrapText="1"/>
    </xf>
    <xf numFmtId="0" fontId="0" fillId="9" borderId="16" xfId="0" applyFill="1" applyBorder="1"/>
    <xf numFmtId="0" fontId="0" fillId="9" borderId="6" xfId="0" applyFill="1" applyBorder="1"/>
    <xf numFmtId="0" fontId="0" fillId="9" borderId="7" xfId="0" applyFill="1" applyBorder="1"/>
    <xf numFmtId="0" fontId="0" fillId="9" borderId="8" xfId="0" applyFill="1" applyBorder="1"/>
    <xf numFmtId="0" fontId="4" fillId="9" borderId="9" xfId="0" applyFont="1" applyFill="1" applyBorder="1" applyAlignment="1">
      <alignment horizontal="center"/>
    </xf>
    <xf numFmtId="0" fontId="4" fillId="10" borderId="0" xfId="0" applyFont="1" applyFill="1"/>
    <xf numFmtId="0" fontId="0" fillId="10" borderId="0" xfId="0" applyFill="1"/>
    <xf numFmtId="0" fontId="25" fillId="10" borderId="0" xfId="0" applyFont="1" applyFill="1"/>
    <xf numFmtId="0" fontId="26" fillId="10" borderId="0" xfId="0" applyFont="1" applyFill="1"/>
    <xf numFmtId="0" fontId="4" fillId="10" borderId="9" xfId="0" applyFont="1" applyFill="1" applyBorder="1" applyAlignment="1">
      <alignment horizontal="center"/>
    </xf>
    <xf numFmtId="0" fontId="4" fillId="10" borderId="16" xfId="0" applyFont="1" applyFill="1" applyBorder="1" applyAlignment="1">
      <alignment horizontal="center"/>
    </xf>
    <xf numFmtId="0" fontId="0" fillId="10" borderId="9" xfId="0" applyFill="1" applyBorder="1" applyAlignment="1">
      <alignment wrapText="1"/>
    </xf>
    <xf numFmtId="0" fontId="25" fillId="10" borderId="0" xfId="0" applyFont="1" applyFill="1" applyAlignment="1">
      <alignment wrapText="1"/>
    </xf>
    <xf numFmtId="0" fontId="4" fillId="9" borderId="0" xfId="0" applyFont="1" applyFill="1" applyAlignment="1">
      <alignment wrapText="1"/>
    </xf>
    <xf numFmtId="0" fontId="22" fillId="9" borderId="0" xfId="0" applyFont="1" applyFill="1" applyAlignment="1">
      <alignment wrapText="1"/>
    </xf>
    <xf numFmtId="0" fontId="4" fillId="9" borderId="4" xfId="0" applyFont="1" applyFill="1" applyBorder="1"/>
    <xf numFmtId="175" fontId="0" fillId="9" borderId="0" xfId="0" applyNumberFormat="1" applyFill="1"/>
    <xf numFmtId="167" fontId="0" fillId="9" borderId="9" xfId="2" applyNumberFormat="1" applyFont="1" applyFill="1" applyBorder="1"/>
    <xf numFmtId="10" fontId="0" fillId="9" borderId="0" xfId="0" applyNumberFormat="1" applyFill="1" applyAlignment="1">
      <alignment wrapText="1"/>
    </xf>
    <xf numFmtId="10" fontId="4" fillId="9" borderId="0" xfId="0" applyNumberFormat="1" applyFont="1" applyFill="1" applyAlignment="1">
      <alignment wrapText="1"/>
    </xf>
    <xf numFmtId="10" fontId="4" fillId="9" borderId="0" xfId="0" applyNumberFormat="1" applyFont="1" applyFill="1"/>
    <xf numFmtId="166" fontId="4" fillId="9" borderId="0" xfId="0" applyNumberFormat="1" applyFont="1" applyFill="1"/>
    <xf numFmtId="0" fontId="0" fillId="10" borderId="9" xfId="0" applyFill="1" applyBorder="1" applyAlignment="1">
      <alignment horizontal="center"/>
    </xf>
    <xf numFmtId="0" fontId="14" fillId="9" borderId="0" xfId="0" applyFont="1" applyFill="1" applyAlignment="1">
      <alignment wrapText="1"/>
    </xf>
    <xf numFmtId="0" fontId="9" fillId="9" borderId="0" xfId="0" applyFont="1" applyFill="1" applyAlignment="1">
      <alignment wrapText="1"/>
    </xf>
    <xf numFmtId="177" fontId="0" fillId="9" borderId="9" xfId="0" applyNumberFormat="1" applyFill="1" applyBorder="1"/>
    <xf numFmtId="177" fontId="0" fillId="9" borderId="11" xfId="0" applyNumberFormat="1" applyFill="1" applyBorder="1"/>
    <xf numFmtId="177" fontId="0" fillId="9" borderId="16" xfId="0" applyNumberFormat="1" applyFill="1" applyBorder="1"/>
    <xf numFmtId="166" fontId="0" fillId="9" borderId="10" xfId="1" applyNumberFormat="1" applyFont="1" applyFill="1" applyBorder="1"/>
    <xf numFmtId="43" fontId="0" fillId="9" borderId="0" xfId="1" applyFont="1" applyFill="1"/>
    <xf numFmtId="166" fontId="9" fillId="9" borderId="9" xfId="1" applyNumberFormat="1" applyFont="1" applyFill="1" applyBorder="1"/>
    <xf numFmtId="166" fontId="0" fillId="9" borderId="10" xfId="0" applyNumberFormat="1" applyFill="1" applyBorder="1"/>
    <xf numFmtId="166" fontId="0" fillId="9" borderId="0" xfId="1" applyNumberFormat="1" applyFont="1" applyFill="1" applyBorder="1"/>
    <xf numFmtId="169" fontId="0" fillId="9" borderId="0" xfId="1" applyNumberFormat="1" applyFont="1" applyFill="1" applyBorder="1"/>
    <xf numFmtId="2" fontId="0" fillId="9" borderId="0" xfId="0" applyNumberFormat="1" applyFill="1"/>
    <xf numFmtId="10" fontId="0" fillId="9" borderId="9" xfId="2" applyNumberFormat="1" applyFont="1" applyFill="1" applyBorder="1"/>
    <xf numFmtId="0" fontId="4" fillId="10" borderId="0" xfId="0" applyFont="1" applyFill="1" applyAlignment="1">
      <alignment wrapText="1"/>
    </xf>
    <xf numFmtId="0" fontId="23" fillId="9" borderId="0" xfId="0" applyFont="1" applyFill="1"/>
    <xf numFmtId="166" fontId="0" fillId="9" borderId="0" xfId="1" applyNumberFormat="1" applyFont="1" applyFill="1"/>
    <xf numFmtId="1" fontId="0" fillId="9" borderId="0" xfId="0" applyNumberFormat="1" applyFill="1"/>
    <xf numFmtId="0" fontId="11" fillId="9" borderId="0" xfId="0" applyFont="1" applyFill="1"/>
    <xf numFmtId="0" fontId="2" fillId="9" borderId="0" xfId="0" applyFont="1" applyFill="1"/>
    <xf numFmtId="0" fontId="2" fillId="10" borderId="0" xfId="0" applyFont="1" applyFill="1"/>
    <xf numFmtId="0" fontId="12" fillId="10" borderId="0" xfId="0" applyFont="1" applyFill="1"/>
    <xf numFmtId="0" fontId="12" fillId="9" borderId="0" xfId="0" applyFont="1" applyFill="1"/>
    <xf numFmtId="0" fontId="16" fillId="10" borderId="0" xfId="0" applyFont="1" applyFill="1"/>
    <xf numFmtId="0" fontId="24" fillId="10" borderId="0" xfId="0" applyFont="1" applyFill="1"/>
    <xf numFmtId="0" fontId="7" fillId="10" borderId="0" xfId="0" applyFont="1" applyFill="1"/>
    <xf numFmtId="0" fontId="7" fillId="9" borderId="0" xfId="0" applyFont="1" applyFill="1"/>
    <xf numFmtId="0" fontId="14" fillId="9" borderId="0" xfId="0" applyFont="1" applyFill="1"/>
    <xf numFmtId="0" fontId="14" fillId="10" borderId="0" xfId="0" applyFont="1" applyFill="1"/>
    <xf numFmtId="0" fontId="10" fillId="9" borderId="9" xfId="0" applyFont="1" applyFill="1" applyBorder="1"/>
    <xf numFmtId="0" fontId="0" fillId="9" borderId="11" xfId="0" applyFill="1" applyBorder="1" applyAlignment="1">
      <alignment wrapText="1"/>
    </xf>
    <xf numFmtId="0" fontId="6" fillId="9" borderId="14" xfId="3" applyFill="1" applyBorder="1" applyAlignment="1"/>
    <xf numFmtId="0" fontId="0" fillId="9" borderId="14" xfId="0" applyFill="1" applyBorder="1"/>
    <xf numFmtId="0" fontId="0" fillId="9" borderId="12" xfId="0" applyFill="1" applyBorder="1"/>
    <xf numFmtId="0" fontId="0" fillId="9" borderId="4" xfId="2" applyNumberFormat="1" applyFont="1" applyFill="1" applyBorder="1" applyAlignment="1">
      <alignment horizontal="left" wrapText="1"/>
    </xf>
    <xf numFmtId="0" fontId="6" fillId="9" borderId="0" xfId="3" applyFill="1" applyBorder="1" applyAlignment="1">
      <alignment horizontal="left" wrapText="1"/>
    </xf>
    <xf numFmtId="0" fontId="6" fillId="9" borderId="0" xfId="3" applyFill="1" applyBorder="1" applyAlignment="1">
      <alignment wrapText="1"/>
    </xf>
    <xf numFmtId="0" fontId="6" fillId="9" borderId="5" xfId="3" applyFill="1" applyBorder="1" applyAlignment="1">
      <alignment wrapText="1"/>
    </xf>
    <xf numFmtId="0" fontId="0" fillId="9" borderId="1" xfId="0" applyFill="1" applyBorder="1"/>
    <xf numFmtId="1" fontId="0" fillId="9" borderId="2" xfId="0" applyNumberFormat="1" applyFill="1" applyBorder="1"/>
    <xf numFmtId="1" fontId="0" fillId="9" borderId="7" xfId="0" applyNumberFormat="1" applyFill="1" applyBorder="1"/>
    <xf numFmtId="9" fontId="0" fillId="9" borderId="5" xfId="2" applyFont="1" applyFill="1" applyBorder="1"/>
    <xf numFmtId="9" fontId="0" fillId="9" borderId="3" xfId="2" applyFont="1" applyFill="1" applyBorder="1"/>
    <xf numFmtId="9" fontId="0" fillId="9" borderId="8" xfId="2" applyFont="1" applyFill="1" applyBorder="1"/>
    <xf numFmtId="0" fontId="0" fillId="9" borderId="16" xfId="0" applyFill="1" applyBorder="1" applyAlignment="1">
      <alignment wrapText="1"/>
    </xf>
    <xf numFmtId="0" fontId="0" fillId="9" borderId="13" xfId="0" applyFill="1" applyBorder="1"/>
    <xf numFmtId="0" fontId="4" fillId="9" borderId="1" xfId="0" applyFont="1" applyFill="1" applyBorder="1" applyAlignment="1">
      <alignment horizontal="left" wrapText="1"/>
    </xf>
    <xf numFmtId="2" fontId="0" fillId="9" borderId="9" xfId="0" applyNumberFormat="1" applyFill="1" applyBorder="1"/>
    <xf numFmtId="0" fontId="0" fillId="9" borderId="2" xfId="0" applyFill="1" applyBorder="1" applyAlignment="1">
      <alignment wrapText="1"/>
    </xf>
    <xf numFmtId="0" fontId="5" fillId="9" borderId="0" xfId="0" applyFont="1" applyFill="1"/>
    <xf numFmtId="1" fontId="9" fillId="9" borderId="0" xfId="0" applyNumberFormat="1" applyFont="1" applyFill="1"/>
    <xf numFmtId="0" fontId="28" fillId="9" borderId="0" xfId="0" applyFont="1" applyFill="1" applyAlignment="1">
      <alignment horizontal="left" vertical="center" wrapText="1"/>
    </xf>
    <xf numFmtId="0" fontId="28" fillId="9" borderId="0" xfId="0" applyFont="1" applyFill="1" applyAlignment="1">
      <alignment horizontal="center" vertical="center" wrapText="1"/>
    </xf>
    <xf numFmtId="3" fontId="27" fillId="9" borderId="0" xfId="0" applyNumberFormat="1" applyFont="1" applyFill="1" applyAlignment="1">
      <alignment horizontal="right" vertical="center" wrapText="1"/>
    </xf>
    <xf numFmtId="0" fontId="27" fillId="9" borderId="0" xfId="0" applyFont="1" applyFill="1" applyAlignment="1">
      <alignment horizontal="right" vertical="center" wrapText="1"/>
    </xf>
    <xf numFmtId="0" fontId="28" fillId="9" borderId="0" xfId="0" applyFont="1" applyFill="1" applyAlignment="1">
      <alignment horizontal="right" vertical="center" wrapText="1"/>
    </xf>
    <xf numFmtId="3" fontId="9" fillId="9" borderId="0" xfId="0" applyNumberFormat="1" applyFont="1" applyFill="1"/>
    <xf numFmtId="165" fontId="9" fillId="9" borderId="0" xfId="0" applyNumberFormat="1" applyFont="1" applyFill="1"/>
    <xf numFmtId="167" fontId="9" fillId="9" borderId="0" xfId="2" applyNumberFormat="1" applyFont="1" applyFill="1" applyBorder="1"/>
    <xf numFmtId="167" fontId="9" fillId="9" borderId="0" xfId="0" applyNumberFormat="1" applyFont="1" applyFill="1"/>
    <xf numFmtId="15" fontId="0" fillId="9" borderId="0" xfId="0" applyNumberFormat="1" applyFill="1"/>
    <xf numFmtId="0" fontId="25" fillId="10" borderId="0" xfId="0" applyFont="1" applyFill="1" applyAlignment="1">
      <alignment horizontal="left" vertical="center"/>
    </xf>
    <xf numFmtId="0" fontId="8" fillId="10" borderId="0" xfId="0" applyFont="1" applyFill="1"/>
    <xf numFmtId="0" fontId="8" fillId="9" borderId="0" xfId="0" applyFont="1" applyFill="1"/>
    <xf numFmtId="0" fontId="12" fillId="10" borderId="9" xfId="0" applyFont="1" applyFill="1" applyBorder="1"/>
    <xf numFmtId="0" fontId="20" fillId="9" borderId="0" xfId="0" applyFont="1" applyFill="1" applyAlignment="1">
      <alignment horizontal="left" vertical="center" wrapText="1" readingOrder="1"/>
    </xf>
    <xf numFmtId="10" fontId="0" fillId="2" borderId="9" xfId="0" applyNumberFormat="1" applyFill="1" applyBorder="1"/>
    <xf numFmtId="0" fontId="29" fillId="10" borderId="0" xfId="0" applyFont="1" applyFill="1"/>
    <xf numFmtId="167" fontId="0" fillId="9" borderId="0" xfId="0" applyNumberFormat="1" applyFill="1"/>
    <xf numFmtId="0" fontId="10" fillId="9" borderId="0" xfId="0" applyFont="1" applyFill="1" applyAlignment="1">
      <alignment vertical="center"/>
    </xf>
    <xf numFmtId="167" fontId="0" fillId="2" borderId="9" xfId="0" applyNumberFormat="1" applyFill="1" applyBorder="1"/>
    <xf numFmtId="0" fontId="20" fillId="9" borderId="0" xfId="0" applyFont="1" applyFill="1" applyAlignment="1">
      <alignment horizontal="right" vertical="center" wrapText="1" readingOrder="1"/>
    </xf>
    <xf numFmtId="0" fontId="20" fillId="9" borderId="9" xfId="0" applyFont="1" applyFill="1" applyBorder="1" applyAlignment="1">
      <alignment horizontal="right" vertical="center" wrapText="1" readingOrder="1"/>
    </xf>
    <xf numFmtId="168" fontId="0" fillId="9" borderId="9" xfId="0" applyNumberFormat="1" applyFill="1" applyBorder="1"/>
    <xf numFmtId="170" fontId="0" fillId="9" borderId="0" xfId="0" applyNumberFormat="1" applyFill="1"/>
    <xf numFmtId="168" fontId="0" fillId="9" borderId="12" xfId="0" applyNumberFormat="1" applyFill="1" applyBorder="1"/>
    <xf numFmtId="171" fontId="0" fillId="9" borderId="10" xfId="0" applyNumberFormat="1" applyFill="1" applyBorder="1"/>
    <xf numFmtId="171" fontId="0" fillId="9" borderId="9" xfId="0" applyNumberFormat="1" applyFill="1" applyBorder="1"/>
    <xf numFmtId="10" fontId="0" fillId="9" borderId="10" xfId="0" applyNumberFormat="1" applyFill="1" applyBorder="1"/>
    <xf numFmtId="0" fontId="0" fillId="10" borderId="14" xfId="0" applyFill="1" applyBorder="1"/>
    <xf numFmtId="0" fontId="0" fillId="10" borderId="12" xfId="0" applyFill="1" applyBorder="1"/>
    <xf numFmtId="0" fontId="19" fillId="10" borderId="0" xfId="0" applyFont="1" applyFill="1" applyAlignment="1">
      <alignment horizontal="left" vertical="center" wrapText="1" readingOrder="1"/>
    </xf>
    <xf numFmtId="0" fontId="20" fillId="10" borderId="0" xfId="0" applyFont="1" applyFill="1" applyAlignment="1">
      <alignment horizontal="left" vertical="center" wrapText="1" readingOrder="1"/>
    </xf>
    <xf numFmtId="0" fontId="20" fillId="10" borderId="0" xfId="0" applyFont="1" applyFill="1" applyAlignment="1">
      <alignment horizontal="right" vertical="center" wrapText="1" readingOrder="1"/>
    </xf>
    <xf numFmtId="0" fontId="9" fillId="10" borderId="0" xfId="0" applyFont="1" applyFill="1"/>
    <xf numFmtId="0" fontId="9" fillId="13" borderId="0" xfId="0" applyFont="1" applyFill="1" applyAlignment="1">
      <alignment wrapText="1"/>
    </xf>
    <xf numFmtId="0" fontId="0" fillId="13" borderId="0" xfId="0" applyFill="1"/>
    <xf numFmtId="166" fontId="9" fillId="9" borderId="9" xfId="0" applyNumberFormat="1" applyFont="1" applyFill="1" applyBorder="1"/>
    <xf numFmtId="0" fontId="30" fillId="10" borderId="0" xfId="0" applyFont="1" applyFill="1"/>
    <xf numFmtId="0" fontId="0" fillId="13" borderId="0" xfId="0" applyFill="1" applyAlignment="1">
      <alignment vertical="top" wrapText="1"/>
    </xf>
    <xf numFmtId="0" fontId="0" fillId="13" borderId="0" xfId="0" applyFill="1" applyAlignment="1">
      <alignment vertical="top"/>
    </xf>
    <xf numFmtId="0" fontId="10" fillId="10" borderId="0" xfId="0" applyFont="1" applyFill="1" applyAlignment="1">
      <alignment vertical="center"/>
    </xf>
    <xf numFmtId="0" fontId="20" fillId="2" borderId="9" xfId="0" applyFont="1" applyFill="1" applyBorder="1" applyAlignment="1">
      <alignment horizontal="right" vertical="center" wrapText="1" readingOrder="1"/>
    </xf>
    <xf numFmtId="0" fontId="19" fillId="10" borderId="0" xfId="0" applyFont="1" applyFill="1" applyAlignment="1">
      <alignment horizontal="right" vertical="center" wrapText="1" readingOrder="1"/>
    </xf>
    <xf numFmtId="0" fontId="18" fillId="10" borderId="0" xfId="0" applyFont="1" applyFill="1" applyAlignment="1">
      <alignment vertical="center"/>
    </xf>
    <xf numFmtId="9" fontId="20" fillId="2" borderId="9" xfId="0" applyNumberFormat="1" applyFont="1" applyFill="1" applyBorder="1" applyAlignment="1">
      <alignment horizontal="right" vertical="center" wrapText="1" readingOrder="1"/>
    </xf>
    <xf numFmtId="9" fontId="20" fillId="0" borderId="0" xfId="0" applyNumberFormat="1" applyFont="1" applyAlignment="1">
      <alignment horizontal="right" vertical="center" wrapText="1" readingOrder="1"/>
    </xf>
    <xf numFmtId="166" fontId="20" fillId="2" borderId="9" xfId="1" applyNumberFormat="1" applyFont="1" applyFill="1" applyBorder="1" applyAlignment="1">
      <alignment horizontal="right" vertical="center" wrapText="1" readingOrder="1"/>
    </xf>
    <xf numFmtId="0" fontId="20" fillId="9" borderId="0" xfId="0" applyFont="1" applyFill="1" applyAlignment="1">
      <alignment horizontal="left" vertical="center" readingOrder="1"/>
    </xf>
    <xf numFmtId="168" fontId="0" fillId="9" borderId="0" xfId="0" applyNumberFormat="1" applyFill="1"/>
    <xf numFmtId="168" fontId="0" fillId="10" borderId="0" xfId="0" applyNumberFormat="1" applyFill="1"/>
    <xf numFmtId="0" fontId="10" fillId="10" borderId="0" xfId="0" applyFont="1" applyFill="1"/>
    <xf numFmtId="0" fontId="31" fillId="9" borderId="0" xfId="0" applyFont="1" applyFill="1" applyAlignment="1">
      <alignment horizontal="left" vertical="center" wrapText="1" readingOrder="1"/>
    </xf>
    <xf numFmtId="0" fontId="19" fillId="9" borderId="0" xfId="0" applyFont="1" applyFill="1" applyAlignment="1">
      <alignment horizontal="right" vertical="center" wrapText="1" readingOrder="1"/>
    </xf>
    <xf numFmtId="166" fontId="0" fillId="2" borderId="12" xfId="1" applyNumberFormat="1" applyFont="1" applyFill="1" applyBorder="1"/>
    <xf numFmtId="166" fontId="20" fillId="2" borderId="9" xfId="0" applyNumberFormat="1" applyFont="1" applyFill="1" applyBorder="1" applyAlignment="1">
      <alignment horizontal="right" vertical="center" wrapText="1" readingOrder="1"/>
    </xf>
    <xf numFmtId="168" fontId="0" fillId="0" borderId="9" xfId="0" applyNumberFormat="1" applyBorder="1"/>
    <xf numFmtId="168" fontId="0" fillId="0" borderId="9" xfId="1" applyNumberFormat="1" applyFont="1" applyFill="1" applyBorder="1"/>
    <xf numFmtId="168" fontId="0" fillId="0" borderId="16" xfId="0" applyNumberFormat="1" applyBorder="1"/>
    <xf numFmtId="0" fontId="0" fillId="9" borderId="0" xfId="0" applyFill="1" applyAlignment="1">
      <alignment vertical="top" wrapText="1"/>
    </xf>
    <xf numFmtId="167" fontId="20" fillId="2" borderId="9" xfId="2" applyNumberFormat="1" applyFont="1" applyFill="1" applyBorder="1" applyAlignment="1">
      <alignment horizontal="right" vertical="center" wrapText="1" readingOrder="1"/>
    </xf>
    <xf numFmtId="0" fontId="23" fillId="9" borderId="0" xfId="0" applyFont="1" applyFill="1" applyAlignment="1">
      <alignment horizontal="left" vertical="center" readingOrder="1"/>
    </xf>
    <xf numFmtId="0" fontId="12" fillId="9" borderId="0" xfId="0" applyFont="1" applyFill="1" applyAlignment="1">
      <alignment horizontal="center"/>
    </xf>
    <xf numFmtId="1" fontId="0" fillId="9" borderId="0" xfId="1" applyNumberFormat="1" applyFont="1" applyFill="1" applyBorder="1"/>
    <xf numFmtId="166" fontId="0" fillId="9" borderId="16" xfId="1" applyNumberFormat="1" applyFont="1" applyFill="1" applyBorder="1"/>
    <xf numFmtId="167" fontId="0" fillId="2" borderId="16" xfId="2" applyNumberFormat="1" applyFont="1" applyFill="1" applyBorder="1"/>
    <xf numFmtId="167" fontId="0" fillId="2" borderId="9" xfId="2" applyNumberFormat="1" applyFont="1" applyFill="1" applyBorder="1"/>
    <xf numFmtId="0" fontId="10" fillId="0" borderId="9" xfId="0" applyFont="1" applyBorder="1"/>
    <xf numFmtId="0" fontId="9" fillId="0" borderId="9" xfId="0" applyFont="1" applyBorder="1"/>
    <xf numFmtId="1" fontId="0" fillId="9" borderId="9" xfId="0" applyNumberFormat="1" applyFill="1" applyBorder="1"/>
    <xf numFmtId="0" fontId="0" fillId="10" borderId="4" xfId="0" applyFill="1" applyBorder="1"/>
    <xf numFmtId="1" fontId="0" fillId="10" borderId="9" xfId="0" applyNumberFormat="1" applyFill="1" applyBorder="1"/>
    <xf numFmtId="43" fontId="0" fillId="0" borderId="9" xfId="1" applyFont="1" applyFill="1" applyBorder="1"/>
    <xf numFmtId="0" fontId="0" fillId="14" borderId="0" xfId="0" applyFill="1"/>
    <xf numFmtId="0" fontId="0" fillId="14" borderId="0" xfId="0" applyFill="1" applyAlignment="1">
      <alignment vertical="top" wrapText="1"/>
    </xf>
    <xf numFmtId="167" fontId="0" fillId="0" borderId="16" xfId="2" applyNumberFormat="1" applyFont="1" applyFill="1" applyBorder="1" applyAlignment="1">
      <alignment wrapText="1"/>
    </xf>
    <xf numFmtId="0" fontId="4" fillId="10" borderId="16" xfId="0" applyFont="1" applyFill="1" applyBorder="1" applyAlignment="1">
      <alignment horizontal="right"/>
    </xf>
    <xf numFmtId="0" fontId="4" fillId="10" borderId="9" xfId="0" applyFont="1" applyFill="1" applyBorder="1" applyAlignment="1">
      <alignment horizontal="right"/>
    </xf>
    <xf numFmtId="9" fontId="0" fillId="0" borderId="9" xfId="1" applyNumberFormat="1" applyFont="1" applyBorder="1"/>
    <xf numFmtId="10" fontId="0" fillId="0" borderId="9" xfId="0" applyNumberFormat="1" applyBorder="1"/>
    <xf numFmtId="0" fontId="4" fillId="10" borderId="12" xfId="0" applyFont="1" applyFill="1" applyBorder="1" applyAlignment="1">
      <alignment horizontal="center"/>
    </xf>
    <xf numFmtId="0" fontId="0" fillId="10" borderId="9" xfId="0" applyFill="1" applyBorder="1"/>
    <xf numFmtId="0" fontId="10" fillId="10" borderId="9" xfId="0" applyFont="1" applyFill="1" applyBorder="1"/>
    <xf numFmtId="0" fontId="4" fillId="10" borderId="9" xfId="0" applyFont="1" applyFill="1" applyBorder="1" applyAlignment="1">
      <alignment horizontal="center" vertical="center"/>
    </xf>
    <xf numFmtId="166" fontId="0" fillId="9" borderId="12" xfId="0" applyNumberFormat="1" applyFill="1" applyBorder="1"/>
    <xf numFmtId="0" fontId="2" fillId="9" borderId="9" xfId="0" applyFont="1" applyFill="1" applyBorder="1"/>
    <xf numFmtId="0" fontId="0" fillId="9" borderId="4" xfId="0" applyFill="1" applyBorder="1" applyAlignment="1">
      <alignment horizontal="center"/>
    </xf>
    <xf numFmtId="0" fontId="0" fillId="9" borderId="0" xfId="0" applyFill="1" applyAlignment="1">
      <alignment horizontal="center"/>
    </xf>
    <xf numFmtId="10" fontId="0" fillId="0" borderId="9" xfId="2" applyNumberFormat="1" applyFont="1" applyBorder="1"/>
    <xf numFmtId="9" fontId="0" fillId="9" borderId="9" xfId="2" applyFont="1" applyFill="1" applyBorder="1"/>
    <xf numFmtId="9" fontId="0" fillId="9" borderId="9" xfId="0" applyNumberFormat="1" applyFill="1" applyBorder="1"/>
    <xf numFmtId="167" fontId="0" fillId="0" borderId="9" xfId="2" applyNumberFormat="1" applyFont="1" applyFill="1" applyBorder="1"/>
    <xf numFmtId="166" fontId="0" fillId="0" borderId="10" xfId="1" applyNumberFormat="1" applyFont="1" applyBorder="1"/>
    <xf numFmtId="0" fontId="14" fillId="10" borderId="16" xfId="0" applyFont="1" applyFill="1" applyBorder="1" applyAlignment="1">
      <alignment horizontal="center" vertical="center"/>
    </xf>
    <xf numFmtId="0" fontId="4" fillId="10" borderId="16" xfId="0" applyFont="1" applyFill="1" applyBorder="1" applyAlignment="1">
      <alignment horizontal="center" vertical="center"/>
    </xf>
    <xf numFmtId="0" fontId="21" fillId="9" borderId="0" xfId="0" applyFont="1" applyFill="1"/>
    <xf numFmtId="166" fontId="10" fillId="9" borderId="0" xfId="1" applyNumberFormat="1" applyFont="1" applyFill="1"/>
    <xf numFmtId="166" fontId="0" fillId="9" borderId="16" xfId="0" applyNumberFormat="1" applyFill="1" applyBorder="1"/>
    <xf numFmtId="0" fontId="0" fillId="14" borderId="9" xfId="0" applyFill="1" applyBorder="1"/>
    <xf numFmtId="0" fontId="5" fillId="9" borderId="9" xfId="0" applyFont="1" applyFill="1" applyBorder="1"/>
    <xf numFmtId="10" fontId="0" fillId="14" borderId="9" xfId="0" applyNumberFormat="1" applyFill="1" applyBorder="1"/>
    <xf numFmtId="0" fontId="4" fillId="10" borderId="9" xfId="0" applyFont="1" applyFill="1" applyBorder="1" applyAlignment="1">
      <alignment horizontal="center" vertical="center" wrapText="1"/>
    </xf>
    <xf numFmtId="0" fontId="32" fillId="9" borderId="0" xfId="3" applyFont="1" applyFill="1"/>
    <xf numFmtId="43" fontId="0" fillId="9" borderId="9" xfId="1" applyFont="1" applyFill="1" applyBorder="1"/>
    <xf numFmtId="178" fontId="0" fillId="9" borderId="9" xfId="1" applyNumberFormat="1" applyFont="1" applyFill="1" applyBorder="1"/>
    <xf numFmtId="179" fontId="0" fillId="9" borderId="9" xfId="0" applyNumberFormat="1" applyFill="1" applyBorder="1"/>
    <xf numFmtId="178" fontId="0" fillId="9" borderId="9" xfId="0" applyNumberFormat="1" applyFill="1" applyBorder="1"/>
    <xf numFmtId="176" fontId="0" fillId="9" borderId="9" xfId="1" applyNumberFormat="1" applyFont="1" applyFill="1" applyBorder="1"/>
    <xf numFmtId="180" fontId="0" fillId="9" borderId="9" xfId="1" applyNumberFormat="1" applyFont="1" applyFill="1" applyBorder="1"/>
    <xf numFmtId="180" fontId="0" fillId="9" borderId="12" xfId="1" applyNumberFormat="1" applyFont="1" applyFill="1" applyBorder="1"/>
    <xf numFmtId="181" fontId="0" fillId="9" borderId="9" xfId="0" applyNumberFormat="1" applyFill="1" applyBorder="1"/>
    <xf numFmtId="166" fontId="0" fillId="10" borderId="0" xfId="1" applyNumberFormat="1" applyFont="1" applyFill="1"/>
    <xf numFmtId="167" fontId="20" fillId="2" borderId="9" xfId="0" applyNumberFormat="1" applyFont="1" applyFill="1" applyBorder="1" applyAlignment="1">
      <alignment horizontal="right" vertical="center" wrapText="1" readingOrder="1"/>
    </xf>
    <xf numFmtId="10" fontId="20" fillId="2" borderId="9" xfId="0" applyNumberFormat="1" applyFont="1" applyFill="1" applyBorder="1" applyAlignment="1">
      <alignment horizontal="right" vertical="center" wrapText="1" readingOrder="1"/>
    </xf>
    <xf numFmtId="0" fontId="14" fillId="10" borderId="16" xfId="0" applyFont="1" applyFill="1" applyBorder="1" applyAlignment="1">
      <alignment horizontal="center"/>
    </xf>
    <xf numFmtId="166" fontId="0" fillId="9" borderId="8" xfId="1" applyNumberFormat="1" applyFont="1" applyFill="1" applyBorder="1"/>
    <xf numFmtId="166" fontId="0" fillId="9" borderId="12" xfId="1" applyNumberFormat="1" applyFont="1" applyFill="1" applyBorder="1"/>
    <xf numFmtId="2" fontId="0" fillId="9" borderId="9" xfId="2" applyNumberFormat="1" applyFont="1" applyFill="1" applyBorder="1"/>
    <xf numFmtId="0" fontId="0" fillId="15" borderId="9" xfId="0" applyFill="1" applyBorder="1"/>
    <xf numFmtId="0" fontId="4" fillId="0" borderId="0" xfId="0" applyFont="1" applyAlignment="1">
      <alignment horizontal="center"/>
    </xf>
    <xf numFmtId="2" fontId="0" fillId="0" borderId="9" xfId="2" applyNumberFormat="1" applyFont="1" applyFill="1" applyBorder="1"/>
    <xf numFmtId="174" fontId="20" fillId="2" borderId="9" xfId="2" applyNumberFormat="1" applyFont="1" applyFill="1" applyBorder="1" applyAlignment="1">
      <alignment horizontal="right" vertical="center" wrapText="1" readingOrder="1"/>
    </xf>
    <xf numFmtId="10" fontId="0" fillId="2" borderId="11" xfId="0" applyNumberFormat="1" applyFill="1" applyBorder="1"/>
    <xf numFmtId="167" fontId="0" fillId="14" borderId="9" xfId="0" applyNumberFormat="1" applyFill="1" applyBorder="1"/>
    <xf numFmtId="182" fontId="0" fillId="9" borderId="9" xfId="2" applyNumberFormat="1" applyFont="1" applyFill="1" applyBorder="1"/>
    <xf numFmtId="0" fontId="6" fillId="9" borderId="0" xfId="3" applyFill="1" applyBorder="1" applyAlignment="1">
      <alignment horizontal="left" wrapText="1"/>
    </xf>
    <xf numFmtId="2" fontId="5" fillId="3" borderId="9" xfId="0" applyNumberFormat="1" applyFont="1" applyFill="1" applyBorder="1" applyAlignment="1">
      <alignment horizontal="center"/>
    </xf>
    <xf numFmtId="2" fontId="5" fillId="12" borderId="9" xfId="0" applyNumberFormat="1" applyFont="1" applyFill="1" applyBorder="1" applyAlignment="1">
      <alignment horizontal="center"/>
    </xf>
    <xf numFmtId="0" fontId="4" fillId="12" borderId="1" xfId="0" applyFont="1" applyFill="1" applyBorder="1" applyAlignment="1">
      <alignment horizontal="center"/>
    </xf>
    <xf numFmtId="0" fontId="4" fillId="12" borderId="2" xfId="0" applyFont="1" applyFill="1" applyBorder="1" applyAlignment="1">
      <alignment horizontal="center"/>
    </xf>
    <xf numFmtId="0" fontId="4" fillId="12" borderId="3" xfId="0" applyFont="1" applyFill="1" applyBorder="1" applyAlignment="1">
      <alignment horizontal="center"/>
    </xf>
    <xf numFmtId="2" fontId="5" fillId="11" borderId="9" xfId="0" applyNumberFormat="1" applyFont="1" applyFill="1" applyBorder="1" applyAlignment="1">
      <alignment horizontal="center"/>
    </xf>
    <xf numFmtId="0" fontId="4" fillId="11" borderId="1" xfId="0" applyFont="1" applyFill="1" applyBorder="1" applyAlignment="1">
      <alignment horizontal="center"/>
    </xf>
    <xf numFmtId="0" fontId="4" fillId="11" borderId="2" xfId="0" applyFont="1" applyFill="1" applyBorder="1" applyAlignment="1">
      <alignment horizontal="center"/>
    </xf>
    <xf numFmtId="0" fontId="4" fillId="11" borderId="3" xfId="0" applyFont="1" applyFill="1" applyBorder="1" applyAlignment="1">
      <alignment horizontal="center"/>
    </xf>
    <xf numFmtId="0" fontId="0" fillId="9" borderId="9" xfId="0" applyFill="1" applyBorder="1" applyAlignment="1">
      <alignment horizontal="center"/>
    </xf>
    <xf numFmtId="0" fontId="0" fillId="9" borderId="16" xfId="0" applyFill="1" applyBorder="1" applyAlignment="1">
      <alignment horizontal="center"/>
    </xf>
    <xf numFmtId="0" fontId="0" fillId="9" borderId="13" xfId="0" applyFill="1" applyBorder="1" applyAlignment="1">
      <alignment horizontal="center"/>
    </xf>
    <xf numFmtId="0" fontId="0" fillId="9" borderId="10" xfId="0" applyFill="1" applyBorder="1" applyAlignment="1">
      <alignment horizontal="center"/>
    </xf>
    <xf numFmtId="0" fontId="6" fillId="9" borderId="4" xfId="3" applyFill="1" applyBorder="1" applyAlignment="1">
      <alignment horizontal="left" wrapText="1"/>
    </xf>
    <xf numFmtId="0" fontId="6" fillId="9" borderId="5" xfId="3" applyFill="1" applyBorder="1" applyAlignment="1">
      <alignment horizontal="left"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0" fillId="9" borderId="4" xfId="0" applyFill="1" applyBorder="1" applyAlignment="1">
      <alignment horizontal="left" vertical="center"/>
    </xf>
  </cellXfs>
  <cellStyles count="16">
    <cellStyle name="Column label" xfId="13" xr:uid="{5B5D4623-5245-423D-9593-D11C164266A1}"/>
    <cellStyle name="Comma" xfId="1" builtinId="3"/>
    <cellStyle name="Comma 2" xfId="15" xr:uid="{C93EB31F-55FB-4010-BF21-96B90D598995}"/>
    <cellStyle name="Currency 13" xfId="14" xr:uid="{2B58E04B-CACB-4918-8E60-7B25C4AB36EC}"/>
    <cellStyle name="Currency 8" xfId="7" xr:uid="{9566A33F-956C-4D8B-AE5E-A9B6B1021769}"/>
    <cellStyle name="D" xfId="4" xr:uid="{933906A3-2C20-41C9-8980-42CDF9F213E3}"/>
    <cellStyle name="H2" xfId="12" xr:uid="{D95B1B5E-BB86-451B-96DF-F21544C238A4}"/>
    <cellStyle name="Highlight" xfId="8" xr:uid="{DBF9C6FE-2947-4DF4-9CF8-799342CC1103}"/>
    <cellStyle name="Hyperlink" xfId="3" builtinId="8"/>
    <cellStyle name="Input calculation" xfId="9" xr:uid="{70565FA5-309D-4BC2-A959-133E2479D50D}"/>
    <cellStyle name="Input data" xfId="6" xr:uid="{49363687-6847-48B6-8061-47D11000C5AD}"/>
    <cellStyle name="Input estimate" xfId="10" xr:uid="{10D5D767-247E-4350-B24D-829B2B738935}"/>
    <cellStyle name="Input link" xfId="5" xr:uid="{F031ADD7-9BB8-4993-A74A-2FC3EC9831DB}"/>
    <cellStyle name="Input link (different workbook)" xfId="11" xr:uid="{4C04A368-BEA3-4C34-9572-79C4B78C8941}"/>
    <cellStyle name="Normal" xfId="0" builtinId="0"/>
    <cellStyle name="Percent" xfId="2" builtinId="5"/>
  </cellStyles>
  <dxfs count="1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431800</xdr:colOff>
      <xdr:row>0</xdr:row>
      <xdr:rowOff>84667</xdr:rowOff>
    </xdr:from>
    <xdr:to>
      <xdr:col>0</xdr:col>
      <xdr:colOff>2493645</xdr:colOff>
      <xdr:row>4</xdr:row>
      <xdr:rowOff>932</xdr:rowOff>
    </xdr:to>
    <xdr:pic>
      <xdr:nvPicPr>
        <xdr:cNvPr id="3" name="Picture 2">
          <a:extLst>
            <a:ext uri="{FF2B5EF4-FFF2-40B4-BE49-F238E27FC236}">
              <a16:creationId xmlns:a16="http://schemas.microsoft.com/office/drawing/2014/main" id="{5E4D40FF-CFEA-487E-B75A-7A1E2BC147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 y="84667"/>
          <a:ext cx="2069465" cy="656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638176</xdr:colOff>
      <xdr:row>2</xdr:row>
      <xdr:rowOff>38100</xdr:rowOff>
    </xdr:from>
    <xdr:to>
      <xdr:col>1</xdr:col>
      <xdr:colOff>761548</xdr:colOff>
      <xdr:row>6</xdr:row>
      <xdr:rowOff>181120</xdr:rowOff>
    </xdr:to>
    <xdr:sp macro="" textlink="">
      <xdr:nvSpPr>
        <xdr:cNvPr id="24" name="Rectangle 23">
          <a:extLst>
            <a:ext uri="{FF2B5EF4-FFF2-40B4-BE49-F238E27FC236}">
              <a16:creationId xmlns:a16="http://schemas.microsoft.com/office/drawing/2014/main" id="{D27A50E3-C89C-A6CB-9A2B-670397E1C0B6}"/>
            </a:ext>
          </a:extLst>
        </xdr:cNvPr>
        <xdr:cNvSpPr/>
      </xdr:nvSpPr>
      <xdr:spPr>
        <a:xfrm>
          <a:off x="638176" y="466725"/>
          <a:ext cx="1171122" cy="905020"/>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en-ZA" sz="1000"/>
            <a:t>1 Traffic volumes (fixed voice</a:t>
          </a:r>
          <a:r>
            <a:rPr lang="en-ZA" sz="1000" baseline="0"/>
            <a:t>)</a:t>
          </a:r>
          <a:endParaRPr lang="en-ZA" sz="1000"/>
        </a:p>
      </xdr:txBody>
    </xdr:sp>
    <xdr:clientData/>
  </xdr:twoCellAnchor>
  <xdr:twoCellAnchor>
    <xdr:from>
      <xdr:col>2</xdr:col>
      <xdr:colOff>219074</xdr:colOff>
      <xdr:row>2</xdr:row>
      <xdr:rowOff>34925</xdr:rowOff>
    </xdr:from>
    <xdr:to>
      <xdr:col>3</xdr:col>
      <xdr:colOff>643022</xdr:colOff>
      <xdr:row>6</xdr:row>
      <xdr:rowOff>152400</xdr:rowOff>
    </xdr:to>
    <xdr:sp macro="" textlink="">
      <xdr:nvSpPr>
        <xdr:cNvPr id="26" name="Rectangle 25">
          <a:extLst>
            <a:ext uri="{FF2B5EF4-FFF2-40B4-BE49-F238E27FC236}">
              <a16:creationId xmlns:a16="http://schemas.microsoft.com/office/drawing/2014/main" id="{0A09B715-4CAE-1466-1E0E-6046BCF29077}"/>
            </a:ext>
          </a:extLst>
        </xdr:cNvPr>
        <xdr:cNvSpPr/>
      </xdr:nvSpPr>
      <xdr:spPr>
        <a:xfrm>
          <a:off x="2314574" y="463550"/>
          <a:ext cx="1471698" cy="87947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en-ZA" sz="1000"/>
            <a:t>2 Convert all traffic types to various dimensions needed</a:t>
          </a:r>
          <a:r>
            <a:rPr lang="en-ZA" sz="1000" baseline="0"/>
            <a:t> for network element demand</a:t>
          </a:r>
          <a:r>
            <a:rPr lang="en-ZA" sz="1000"/>
            <a:t> </a:t>
          </a:r>
        </a:p>
      </xdr:txBody>
    </xdr:sp>
    <xdr:clientData/>
  </xdr:twoCellAnchor>
  <xdr:twoCellAnchor>
    <xdr:from>
      <xdr:col>1</xdr:col>
      <xdr:colOff>761548</xdr:colOff>
      <xdr:row>4</xdr:row>
      <xdr:rowOff>93663</xdr:rowOff>
    </xdr:from>
    <xdr:to>
      <xdr:col>2</xdr:col>
      <xdr:colOff>219074</xdr:colOff>
      <xdr:row>4</xdr:row>
      <xdr:rowOff>109610</xdr:rowOff>
    </xdr:to>
    <xdr:cxnSp macro="">
      <xdr:nvCxnSpPr>
        <xdr:cNvPr id="27" name="Straight Arrow Connector 26">
          <a:extLst>
            <a:ext uri="{FF2B5EF4-FFF2-40B4-BE49-F238E27FC236}">
              <a16:creationId xmlns:a16="http://schemas.microsoft.com/office/drawing/2014/main" id="{A9D15B73-F085-497A-3AD4-E5998221B5CF}"/>
            </a:ext>
          </a:extLst>
        </xdr:cNvPr>
        <xdr:cNvCxnSpPr>
          <a:stCxn id="24" idx="3"/>
          <a:endCxn id="26" idx="1"/>
        </xdr:cNvCxnSpPr>
      </xdr:nvCxnSpPr>
      <xdr:spPr>
        <a:xfrm flipV="1">
          <a:off x="1809298" y="903288"/>
          <a:ext cx="505276" cy="1594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238126</xdr:colOff>
      <xdr:row>8</xdr:row>
      <xdr:rowOff>95249</xdr:rowOff>
    </xdr:from>
    <xdr:to>
      <xdr:col>3</xdr:col>
      <xdr:colOff>645860</xdr:colOff>
      <xdr:row>14</xdr:row>
      <xdr:rowOff>0</xdr:rowOff>
    </xdr:to>
    <xdr:sp macro="" textlink="">
      <xdr:nvSpPr>
        <xdr:cNvPr id="28" name="Rectangle 27">
          <a:extLst>
            <a:ext uri="{FF2B5EF4-FFF2-40B4-BE49-F238E27FC236}">
              <a16:creationId xmlns:a16="http://schemas.microsoft.com/office/drawing/2014/main" id="{E946CFE3-5A6A-B75A-44E3-DE89B9FCBF01}"/>
            </a:ext>
          </a:extLst>
        </xdr:cNvPr>
        <xdr:cNvSpPr/>
      </xdr:nvSpPr>
      <xdr:spPr>
        <a:xfrm>
          <a:off x="2333626" y="1666874"/>
          <a:ext cx="1455484" cy="1047751"/>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en-ZA" sz="1000"/>
            <a:t>3 Compute network element demand </a:t>
          </a:r>
        </a:p>
      </xdr:txBody>
    </xdr:sp>
    <xdr:clientData/>
  </xdr:twoCellAnchor>
  <xdr:twoCellAnchor>
    <xdr:from>
      <xdr:col>2</xdr:col>
      <xdr:colOff>954923</xdr:colOff>
      <xdr:row>6</xdr:row>
      <xdr:rowOff>152400</xdr:rowOff>
    </xdr:from>
    <xdr:to>
      <xdr:col>2</xdr:col>
      <xdr:colOff>965868</xdr:colOff>
      <xdr:row>8</xdr:row>
      <xdr:rowOff>95249</xdr:rowOff>
    </xdr:to>
    <xdr:cxnSp macro="">
      <xdr:nvCxnSpPr>
        <xdr:cNvPr id="29" name="Straight Arrow Connector 28">
          <a:extLst>
            <a:ext uri="{FF2B5EF4-FFF2-40B4-BE49-F238E27FC236}">
              <a16:creationId xmlns:a16="http://schemas.microsoft.com/office/drawing/2014/main" id="{361178F6-1154-771A-DD84-0717160AB58A}"/>
            </a:ext>
          </a:extLst>
        </xdr:cNvPr>
        <xdr:cNvCxnSpPr>
          <a:stCxn id="26" idx="2"/>
          <a:endCxn id="28" idx="0"/>
        </xdr:cNvCxnSpPr>
      </xdr:nvCxnSpPr>
      <xdr:spPr>
        <a:xfrm>
          <a:off x="3050423" y="1343025"/>
          <a:ext cx="10945" cy="3238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645860</xdr:colOff>
      <xdr:row>11</xdr:row>
      <xdr:rowOff>47625</xdr:rowOff>
    </xdr:from>
    <xdr:to>
      <xdr:col>4</xdr:col>
      <xdr:colOff>676275</xdr:colOff>
      <xdr:row>11</xdr:row>
      <xdr:rowOff>122020</xdr:rowOff>
    </xdr:to>
    <xdr:cxnSp macro="">
      <xdr:nvCxnSpPr>
        <xdr:cNvPr id="31" name="Straight Arrow Connector 30">
          <a:extLst>
            <a:ext uri="{FF2B5EF4-FFF2-40B4-BE49-F238E27FC236}">
              <a16:creationId xmlns:a16="http://schemas.microsoft.com/office/drawing/2014/main" id="{9586AC1C-F5D6-D56B-3CD3-D2830943FB3D}"/>
            </a:ext>
          </a:extLst>
        </xdr:cNvPr>
        <xdr:cNvCxnSpPr>
          <a:stCxn id="28" idx="3"/>
          <a:endCxn id="32" idx="1"/>
        </xdr:cNvCxnSpPr>
      </xdr:nvCxnSpPr>
      <xdr:spPr>
        <a:xfrm>
          <a:off x="3789110" y="2190750"/>
          <a:ext cx="1078165" cy="743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676275</xdr:colOff>
      <xdr:row>9</xdr:row>
      <xdr:rowOff>101600</xdr:rowOff>
    </xdr:from>
    <xdr:to>
      <xdr:col>5</xdr:col>
      <xdr:colOff>923120</xdr:colOff>
      <xdr:row>13</xdr:row>
      <xdr:rowOff>142440</xdr:rowOff>
    </xdr:to>
    <xdr:sp macro="" textlink="">
      <xdr:nvSpPr>
        <xdr:cNvPr id="32" name="Rectangle 31">
          <a:extLst>
            <a:ext uri="{FF2B5EF4-FFF2-40B4-BE49-F238E27FC236}">
              <a16:creationId xmlns:a16="http://schemas.microsoft.com/office/drawing/2014/main" id="{7222EBC5-93EB-7DC9-5A37-5F981BCDAE39}"/>
            </a:ext>
          </a:extLst>
        </xdr:cNvPr>
        <xdr:cNvSpPr/>
      </xdr:nvSpPr>
      <xdr:spPr>
        <a:xfrm>
          <a:off x="4867275" y="1863725"/>
          <a:ext cx="1294595" cy="802840"/>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en-ZA" sz="1000"/>
            <a:t>4, 5 Obtain capital</a:t>
          </a:r>
          <a:r>
            <a:rPr lang="en-ZA" sz="1000" baseline="0"/>
            <a:t> expenditure and operating costs for network elements</a:t>
          </a:r>
          <a:endParaRPr lang="en-ZA" sz="1000"/>
        </a:p>
      </xdr:txBody>
    </xdr:sp>
    <xdr:clientData/>
  </xdr:twoCellAnchor>
  <xdr:twoCellAnchor>
    <xdr:from>
      <xdr:col>6</xdr:col>
      <xdr:colOff>361951</xdr:colOff>
      <xdr:row>13</xdr:row>
      <xdr:rowOff>6349</xdr:rowOff>
    </xdr:from>
    <xdr:to>
      <xdr:col>7</xdr:col>
      <xdr:colOff>495301</xdr:colOff>
      <xdr:row>17</xdr:row>
      <xdr:rowOff>134772</xdr:rowOff>
    </xdr:to>
    <xdr:sp macro="" textlink="">
      <xdr:nvSpPr>
        <xdr:cNvPr id="40" name="Rectangle 39">
          <a:extLst>
            <a:ext uri="{FF2B5EF4-FFF2-40B4-BE49-F238E27FC236}">
              <a16:creationId xmlns:a16="http://schemas.microsoft.com/office/drawing/2014/main" id="{45634776-04E9-CFA1-4266-A7F12A67118F}"/>
            </a:ext>
          </a:extLst>
        </xdr:cNvPr>
        <xdr:cNvSpPr/>
      </xdr:nvSpPr>
      <xdr:spPr>
        <a:xfrm>
          <a:off x="6648451" y="2530474"/>
          <a:ext cx="1181100" cy="890423"/>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en-ZA" sz="1000"/>
            <a:t>6 Extract costs</a:t>
          </a:r>
          <a:r>
            <a:rPr lang="en-ZA" sz="1000" baseline="0"/>
            <a:t> of network elements used only for incremental voice traffic</a:t>
          </a:r>
          <a:endParaRPr lang="en-ZA" sz="1000"/>
        </a:p>
      </xdr:txBody>
    </xdr:sp>
    <xdr:clientData/>
  </xdr:twoCellAnchor>
  <xdr:twoCellAnchor>
    <xdr:from>
      <xdr:col>5</xdr:col>
      <xdr:colOff>923120</xdr:colOff>
      <xdr:row>11</xdr:row>
      <xdr:rowOff>122020</xdr:rowOff>
    </xdr:from>
    <xdr:to>
      <xdr:col>6</xdr:col>
      <xdr:colOff>361951</xdr:colOff>
      <xdr:row>15</xdr:row>
      <xdr:rowOff>70561</xdr:rowOff>
    </xdr:to>
    <xdr:cxnSp macro="">
      <xdr:nvCxnSpPr>
        <xdr:cNvPr id="41" name="Straight Arrow Connector 40">
          <a:extLst>
            <a:ext uri="{FF2B5EF4-FFF2-40B4-BE49-F238E27FC236}">
              <a16:creationId xmlns:a16="http://schemas.microsoft.com/office/drawing/2014/main" id="{82ACFF68-CDA2-45BA-8C42-CAF19D22414C}"/>
            </a:ext>
          </a:extLst>
        </xdr:cNvPr>
        <xdr:cNvCxnSpPr>
          <a:stCxn id="32" idx="3"/>
          <a:endCxn id="40" idx="1"/>
        </xdr:cNvCxnSpPr>
      </xdr:nvCxnSpPr>
      <xdr:spPr>
        <a:xfrm>
          <a:off x="6161870" y="2265145"/>
          <a:ext cx="486581" cy="7105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638175</xdr:colOff>
      <xdr:row>4</xdr:row>
      <xdr:rowOff>109610</xdr:rowOff>
    </xdr:from>
    <xdr:to>
      <xdr:col>6</xdr:col>
      <xdr:colOff>952500</xdr:colOff>
      <xdr:row>17</xdr:row>
      <xdr:rowOff>134772</xdr:rowOff>
    </xdr:to>
    <xdr:cxnSp macro="">
      <xdr:nvCxnSpPr>
        <xdr:cNvPr id="44" name="Connector: Elbow 43">
          <a:extLst>
            <a:ext uri="{FF2B5EF4-FFF2-40B4-BE49-F238E27FC236}">
              <a16:creationId xmlns:a16="http://schemas.microsoft.com/office/drawing/2014/main" id="{B8E268AA-1A8A-A910-0447-943C91256A72}"/>
            </a:ext>
          </a:extLst>
        </xdr:cNvPr>
        <xdr:cNvCxnSpPr>
          <a:cxnSpLocks/>
          <a:stCxn id="24" idx="1"/>
          <a:endCxn id="40" idx="2"/>
        </xdr:cNvCxnSpPr>
      </xdr:nvCxnSpPr>
      <xdr:spPr>
        <a:xfrm rot="10800000" flipH="1" flipV="1">
          <a:off x="638175" y="919235"/>
          <a:ext cx="6600825" cy="2501662"/>
        </a:xfrm>
        <a:prstGeom prst="bentConnector4">
          <a:avLst>
            <a:gd name="adj1" fmla="val -3463"/>
            <a:gd name="adj2" fmla="val 10913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hyperlink" Target="https://datahub.itu.int/data/?id=2&amp;e=ZAF&amp;i=54" TargetMode="External"/></Relationships>
</file>

<file path=xl/worksheets/_rels/sheet19.xml.rels><?xml version="1.0" encoding="UTF-8" standalone="yes"?>
<Relationships xmlns="http://schemas.openxmlformats.org/package/2006/relationships"><Relationship Id="rId2" Type="http://schemas.openxmlformats.org/officeDocument/2006/relationships/hyperlink" Target="https://orbitax.com/taxhub/corporatetaxrates/ZA/South-Africa" TargetMode="External"/><Relationship Id="rId1" Type="http://schemas.openxmlformats.org/officeDocument/2006/relationships/hyperlink" Target="http://www.worldgovernmentbonds.com/bond-historical-data/south-africa/10-year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resbank,co,za/en/home/what-we-do/statistics/key-statistics/selected-historical-rates" TargetMode="External"/><Relationship Id="rId2" Type="http://schemas.openxmlformats.org/officeDocument/2006/relationships/hyperlink" Target="https://www.statssa.gov.za/publications/P0141/CPIHistory.pdf?" TargetMode="External"/><Relationship Id="rId1" Type="http://schemas.openxmlformats.org/officeDocument/2006/relationships/hyperlink" Target="https://www.resbank.co.za/en/home/what-we-do/statistics/key-statistics/current-market-rates" TargetMode="External"/><Relationship Id="rId5" Type="http://schemas.openxmlformats.org/officeDocument/2006/relationships/hyperlink" Target="https://www.resbank.co.za/content/dam/sarb/publications/statements/monetary-policy-statements/2023/september/Forecast%20September%202023.pdf" TargetMode="External"/><Relationship Id="rId4" Type="http://schemas.openxmlformats.org/officeDocument/2006/relationships/hyperlink" Target="https://www.investec.com/content/dam/south-africa/content-hub/annabel-bishop/rand-note/Rand-note-9-Oct-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23F90-B105-4507-91AC-9BDBDE44079E}">
  <sheetPr>
    <tabColor theme="3" tint="0.79998168889431442"/>
  </sheetPr>
  <dimension ref="A6:U32"/>
  <sheetViews>
    <sheetView tabSelected="1" zoomScale="90" zoomScaleNormal="90" workbookViewId="0">
      <selection activeCell="B24" sqref="B24"/>
    </sheetView>
  </sheetViews>
  <sheetFormatPr defaultColWidth="8.54296875" defaultRowHeight="14.5" x14ac:dyDescent="0.35"/>
  <cols>
    <col min="1" max="1" width="49.54296875" style="12" customWidth="1"/>
    <col min="2" max="2" width="22" style="12" customWidth="1"/>
    <col min="3" max="21" width="15.6328125" style="12" customWidth="1"/>
    <col min="22" max="16384" width="8.54296875" style="12"/>
  </cols>
  <sheetData>
    <row r="6" spans="1:5" ht="18.5" x14ac:dyDescent="0.35">
      <c r="A6" s="126" t="s">
        <v>326</v>
      </c>
      <c r="B6" s="49"/>
      <c r="C6" s="49"/>
    </row>
    <row r="8" spans="1:5" x14ac:dyDescent="0.35">
      <c r="A8" s="12" t="s">
        <v>0</v>
      </c>
      <c r="B8" s="125">
        <v>45317</v>
      </c>
    </row>
    <row r="9" spans="1:5" x14ac:dyDescent="0.35">
      <c r="A9" s="12" t="s">
        <v>1</v>
      </c>
      <c r="B9" s="12">
        <v>5</v>
      </c>
    </row>
    <row r="10" spans="1:5" x14ac:dyDescent="0.35">
      <c r="A10" s="12" t="s">
        <v>2</v>
      </c>
      <c r="B10" s="12" t="s">
        <v>3</v>
      </c>
    </row>
    <row r="12" spans="1:5" x14ac:dyDescent="0.35">
      <c r="A12" s="48" t="s">
        <v>4</v>
      </c>
      <c r="B12" s="12" t="s">
        <v>5</v>
      </c>
    </row>
    <row r="13" spans="1:5" x14ac:dyDescent="0.35">
      <c r="A13" s="21"/>
    </row>
    <row r="14" spans="1:5" x14ac:dyDescent="0.35">
      <c r="A14" s="48" t="s">
        <v>6</v>
      </c>
      <c r="B14" s="9"/>
      <c r="C14" s="12" t="s">
        <v>7</v>
      </c>
      <c r="D14"/>
      <c r="E14"/>
    </row>
    <row r="15" spans="1:5" x14ac:dyDescent="0.35">
      <c r="B15" s="15" t="s">
        <v>8</v>
      </c>
      <c r="C15" s="12" t="s">
        <v>9</v>
      </c>
    </row>
    <row r="16" spans="1:5" x14ac:dyDescent="0.35">
      <c r="B16" s="80" t="s">
        <v>10</v>
      </c>
      <c r="C16" s="12" t="s">
        <v>11</v>
      </c>
    </row>
    <row r="18" spans="1:21" x14ac:dyDescent="0.35">
      <c r="A18" s="48" t="s">
        <v>12</v>
      </c>
      <c r="B18" s="17" t="s">
        <v>13</v>
      </c>
    </row>
    <row r="19" spans="1:21" hidden="1" x14ac:dyDescent="0.35">
      <c r="A19" s="12" t="e">
        <f>'1 Volumes'!#REF!</f>
        <v>#REF!</v>
      </c>
      <c r="B19" s="40" t="str">
        <f>B18</f>
        <v>Medium growth scenario</v>
      </c>
    </row>
    <row r="20" spans="1:21" hidden="1" x14ac:dyDescent="0.35">
      <c r="A20" s="12" t="e">
        <f>'1 Volumes'!#REF!</f>
        <v>#REF!</v>
      </c>
      <c r="B20" s="17" t="str">
        <f>B18</f>
        <v>Medium growth scenario</v>
      </c>
    </row>
    <row r="22" spans="1:21" x14ac:dyDescent="0.35">
      <c r="A22" s="48" t="s">
        <v>320</v>
      </c>
      <c r="B22" s="17" t="s">
        <v>323</v>
      </c>
    </row>
    <row r="24" spans="1:21" x14ac:dyDescent="0.35">
      <c r="A24" s="48" t="s">
        <v>14</v>
      </c>
      <c r="B24" s="8">
        <v>0.5</v>
      </c>
      <c r="C24" s="15" t="s">
        <v>15</v>
      </c>
      <c r="E24"/>
    </row>
    <row r="25" spans="1:21" x14ac:dyDescent="0.35">
      <c r="B25" s="80"/>
    </row>
    <row r="26" spans="1:21" x14ac:dyDescent="0.35">
      <c r="B26" s="15"/>
    </row>
    <row r="27" spans="1:21" x14ac:dyDescent="0.35">
      <c r="B27" s="15"/>
      <c r="F27" s="23"/>
    </row>
    <row r="28" spans="1:21" x14ac:dyDescent="0.35">
      <c r="A28" s="48" t="s">
        <v>16</v>
      </c>
    </row>
    <row r="29" spans="1:21" x14ac:dyDescent="0.35">
      <c r="A29" s="17"/>
      <c r="B29" s="52">
        <v>2018</v>
      </c>
      <c r="C29" s="52">
        <v>2019</v>
      </c>
      <c r="D29" s="52">
        <v>2020</v>
      </c>
      <c r="E29" s="52">
        <v>2021</v>
      </c>
      <c r="F29" s="52">
        <v>2022</v>
      </c>
      <c r="G29" s="52">
        <v>2023</v>
      </c>
      <c r="H29" s="52">
        <v>2024</v>
      </c>
      <c r="I29" s="52">
        <v>2025</v>
      </c>
      <c r="J29" s="52">
        <v>2026</v>
      </c>
      <c r="K29" s="52">
        <v>2027</v>
      </c>
      <c r="L29" s="52">
        <v>2028</v>
      </c>
      <c r="M29" s="52">
        <v>2029</v>
      </c>
      <c r="N29" s="52">
        <v>2030</v>
      </c>
      <c r="O29" s="52">
        <v>2031</v>
      </c>
      <c r="P29" s="52">
        <v>2032</v>
      </c>
      <c r="Q29" s="52">
        <v>2033</v>
      </c>
      <c r="R29" s="52">
        <v>2034</v>
      </c>
      <c r="S29" s="52">
        <v>2035</v>
      </c>
      <c r="T29" s="52">
        <v>2036</v>
      </c>
      <c r="U29" s="52">
        <v>2037</v>
      </c>
    </row>
    <row r="30" spans="1:21" x14ac:dyDescent="0.35">
      <c r="A30" s="220" t="s">
        <v>327</v>
      </c>
      <c r="B30" s="220" cm="1">
        <f t="array" ref="B30:U30">pure_lric</f>
        <v>5.0426594598851071E-3</v>
      </c>
      <c r="C30" s="220">
        <v>5.1681180840968911E-3</v>
      </c>
      <c r="D30" s="220">
        <v>5.285414391267616E-3</v>
      </c>
      <c r="E30" s="220">
        <v>5.4238690206991269E-3</v>
      </c>
      <c r="F30" s="220">
        <v>5.6049063404924482E-3</v>
      </c>
      <c r="G30" s="220">
        <v>5.7795317117585567E-3</v>
      </c>
      <c r="H30" s="220">
        <v>5.9435948745938192E-3</v>
      </c>
      <c r="I30" s="220">
        <v>6.1040713235156543E-3</v>
      </c>
      <c r="J30" s="220">
        <v>6.2697810983430389E-3</v>
      </c>
      <c r="K30" s="220">
        <v>6.4409227535006577E-3</v>
      </c>
      <c r="L30" s="220">
        <v>6.6177030918067939E-3</v>
      </c>
      <c r="M30" s="220">
        <v>6.8003375228927326E-3</v>
      </c>
      <c r="N30" s="220">
        <v>6.9890504375139644E-3</v>
      </c>
      <c r="O30" s="220">
        <v>7.1840755984638877E-3</v>
      </c>
      <c r="P30" s="220">
        <v>7.3856565488326538E-3</v>
      </c>
      <c r="Q30" s="220">
        <v>7.5940470383870987E-3</v>
      </c>
      <c r="R30" s="220">
        <v>7.8095114688825759E-3</v>
      </c>
      <c r="S30" s="220">
        <v>8.0323253591538524E-3</v>
      </c>
      <c r="T30" s="220">
        <v>8.2627758308703326E-3</v>
      </c>
      <c r="U30" s="220">
        <v>8.5011621158805496E-3</v>
      </c>
    </row>
    <row r="31" spans="1:21" x14ac:dyDescent="0.35">
      <c r="B31" s="76"/>
      <c r="C31" s="76"/>
    </row>
    <row r="32" spans="1:21" x14ac:dyDescent="0.35">
      <c r="B32" s="76"/>
      <c r="C32" s="76"/>
    </row>
  </sheetData>
  <phoneticPr fontId="1" type="noConversion"/>
  <dataValidations count="2">
    <dataValidation type="list" allowBlank="1" showInputMessage="1" showErrorMessage="1" sqref="B18:B20" xr:uid="{12E14B34-24FB-42A6-BF87-D45BAE03149B}">
      <formula1>growth_scenarios</formula1>
    </dataValidation>
    <dataValidation type="list" allowBlank="1" showInputMessage="1" showErrorMessage="1" sqref="B22" xr:uid="{07CADBC5-664A-47E7-8DC0-2C4614F658A1}">
      <formula1>currency_scenario</formula1>
    </dataValidation>
  </dataValidation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3C80-439D-4034-9C1C-7BF5C9DD8463}">
  <sheetPr>
    <tabColor theme="3" tint="0.79998168889431442"/>
  </sheetPr>
  <dimension ref="A1:U1"/>
  <sheetViews>
    <sheetView workbookViewId="0">
      <selection activeCell="E38" sqref="E38"/>
    </sheetView>
  </sheetViews>
  <sheetFormatPr defaultColWidth="15.6328125" defaultRowHeight="14.5" x14ac:dyDescent="0.35"/>
  <cols>
    <col min="1" max="16384" width="15.6328125" style="12"/>
  </cols>
  <sheetData>
    <row r="1" spans="1:21" ht="18.5" x14ac:dyDescent="0.45">
      <c r="A1" s="89" t="s">
        <v>17</v>
      </c>
      <c r="B1" s="127"/>
      <c r="C1" s="127"/>
      <c r="D1" s="128"/>
      <c r="E1" s="128"/>
      <c r="F1" s="128"/>
      <c r="G1" s="128"/>
      <c r="H1" s="128"/>
      <c r="I1" s="128"/>
      <c r="J1" s="128"/>
      <c r="K1" s="128"/>
      <c r="L1" s="128"/>
      <c r="M1" s="128"/>
      <c r="N1" s="128"/>
      <c r="O1" s="128"/>
      <c r="P1" s="128"/>
      <c r="Q1" s="128"/>
      <c r="R1" s="128"/>
      <c r="S1" s="128"/>
      <c r="T1" s="128"/>
      <c r="U1" s="12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C4A3E-8AA2-4AB5-9F3D-8BACE5465AE8}">
  <dimension ref="A1:W50"/>
  <sheetViews>
    <sheetView zoomScale="85" zoomScaleNormal="85" workbookViewId="0">
      <pane xSplit="1" topLeftCell="B1" activePane="topRight" state="frozen"/>
      <selection activeCell="C36" sqref="C36"/>
      <selection pane="topRight" activeCell="C33" sqref="C33"/>
    </sheetView>
  </sheetViews>
  <sheetFormatPr defaultColWidth="8.54296875" defaultRowHeight="14.5" x14ac:dyDescent="0.35"/>
  <cols>
    <col min="1" max="1" width="54.453125" style="12" customWidth="1"/>
    <col min="2" max="21" width="15.6328125" style="12" customWidth="1"/>
    <col min="22" max="24" width="22" style="12" customWidth="1"/>
    <col min="25" max="25" width="18.453125" style="12" bestFit="1" customWidth="1"/>
    <col min="26" max="27" width="18.453125" style="12" customWidth="1"/>
    <col min="28" max="28" width="19.54296875" style="12" customWidth="1"/>
    <col min="29" max="29" width="13.54296875" style="12" bestFit="1" customWidth="1"/>
    <col min="30" max="30" width="12.453125" style="12" customWidth="1"/>
    <col min="31" max="31" width="15.453125" style="12" bestFit="1" customWidth="1"/>
    <col min="32" max="59" width="11.54296875" style="12" bestFit="1" customWidth="1"/>
    <col min="60" max="80" width="9.453125" style="12" bestFit="1" customWidth="1"/>
    <col min="81" max="16384" width="8.54296875" style="12"/>
  </cols>
  <sheetData>
    <row r="1" spans="1:23" ht="18.5" x14ac:dyDescent="0.35">
      <c r="A1" s="27" t="s">
        <v>18</v>
      </c>
      <c r="B1" s="28"/>
      <c r="C1" s="28"/>
      <c r="D1" s="11"/>
      <c r="E1" s="11"/>
      <c r="F1" s="11"/>
      <c r="G1" s="11"/>
      <c r="H1" s="11"/>
      <c r="I1" s="11"/>
      <c r="J1" s="11"/>
      <c r="K1" s="11"/>
      <c r="L1" s="11"/>
      <c r="M1" s="11"/>
      <c r="N1" s="11"/>
      <c r="O1" s="11"/>
      <c r="P1" s="11"/>
      <c r="Q1" s="11"/>
      <c r="R1" s="11"/>
      <c r="S1" s="11"/>
      <c r="T1" s="11"/>
      <c r="U1" s="11"/>
    </row>
    <row r="2" spans="1:23" x14ac:dyDescent="0.35">
      <c r="A2" s="11"/>
      <c r="B2" s="11"/>
      <c r="C2" s="11"/>
      <c r="D2" s="11"/>
      <c r="E2" s="11"/>
      <c r="F2" s="11"/>
      <c r="G2" s="11"/>
      <c r="H2" s="11"/>
      <c r="I2" s="11"/>
      <c r="J2" s="11"/>
      <c r="K2" s="11"/>
      <c r="L2" s="11"/>
      <c r="M2" s="11"/>
      <c r="N2" s="11"/>
      <c r="O2" s="11"/>
      <c r="P2" s="11"/>
      <c r="Q2" s="11"/>
      <c r="R2" s="11"/>
      <c r="S2" s="11"/>
      <c r="T2" s="11"/>
      <c r="U2" s="11"/>
      <c r="V2" s="13"/>
      <c r="W2" s="13"/>
    </row>
    <row r="4" spans="1:23" x14ac:dyDescent="0.35">
      <c r="A4" s="24"/>
    </row>
    <row r="5" spans="1:23" x14ac:dyDescent="0.35">
      <c r="A5" s="21" t="str">
        <f>'Volume projections'!A10</f>
        <v>On-net fixed to fixed traffic</v>
      </c>
      <c r="B5" s="23"/>
      <c r="C5" s="23"/>
      <c r="D5" s="23"/>
      <c r="E5" s="23"/>
      <c r="F5" s="23"/>
      <c r="G5" s="23"/>
      <c r="H5" s="23"/>
      <c r="I5" s="23"/>
      <c r="J5" s="23"/>
      <c r="K5" s="23"/>
      <c r="L5" s="23"/>
      <c r="M5" s="23"/>
      <c r="N5" s="23"/>
      <c r="O5" s="23"/>
      <c r="P5" s="23"/>
    </row>
    <row r="7" spans="1:23" x14ac:dyDescent="0.35">
      <c r="A7" s="17"/>
      <c r="B7" s="52">
        <f>'Volume projections'!B12</f>
        <v>2018</v>
      </c>
      <c r="C7" s="52">
        <f>'Volume projections'!C12</f>
        <v>2019</v>
      </c>
      <c r="D7" s="52">
        <f>'Volume projections'!D12</f>
        <v>2020</v>
      </c>
      <c r="E7" s="52">
        <f>'Volume projections'!E12</f>
        <v>2021</v>
      </c>
      <c r="F7" s="52">
        <f>'Volume projections'!F12</f>
        <v>2022</v>
      </c>
      <c r="G7" s="52">
        <f>'Volume projections'!G12</f>
        <v>2023</v>
      </c>
      <c r="H7" s="52">
        <f>'Volume projections'!H12</f>
        <v>2024</v>
      </c>
      <c r="I7" s="52">
        <f>'Volume projections'!I12</f>
        <v>2025</v>
      </c>
      <c r="J7" s="52">
        <f>'Volume projections'!J12</f>
        <v>2026</v>
      </c>
      <c r="K7" s="52">
        <f>'Volume projections'!K12</f>
        <v>2027</v>
      </c>
      <c r="L7" s="52">
        <f>'Volume projections'!L12</f>
        <v>2028</v>
      </c>
      <c r="M7" s="52">
        <f>'Volume projections'!M12</f>
        <v>2029</v>
      </c>
      <c r="N7" s="52">
        <f>'Volume projections'!N12</f>
        <v>2030</v>
      </c>
      <c r="O7" s="52">
        <f>'Volume projections'!O12</f>
        <v>2031</v>
      </c>
      <c r="P7" s="52">
        <f>'Volume projections'!P12</f>
        <v>2032</v>
      </c>
      <c r="Q7" s="52">
        <f>'Volume projections'!Q12</f>
        <v>2033</v>
      </c>
      <c r="R7" s="52">
        <f>'Volume projections'!R12</f>
        <v>2034</v>
      </c>
      <c r="S7" s="52">
        <f>'Volume projections'!S12</f>
        <v>2035</v>
      </c>
      <c r="T7" s="52">
        <f>'Volume projections'!T12</f>
        <v>2036</v>
      </c>
      <c r="U7" s="52">
        <f>'Volume projections'!U12</f>
        <v>2037</v>
      </c>
    </row>
    <row r="8" spans="1:23" x14ac:dyDescent="0.35">
      <c r="A8" s="17" t="str">
        <f>'Volume projections'!A13</f>
        <v>Low growth scenario</v>
      </c>
      <c r="B8" s="26">
        <f>'Volume projections'!B13</f>
        <v>3642630000</v>
      </c>
      <c r="C8" s="26">
        <f>'Volume projections'!C13</f>
        <v>3063954000</v>
      </c>
      <c r="D8" s="26">
        <f>'Volume projections'!D13</f>
        <v>2663016000</v>
      </c>
      <c r="E8" s="26">
        <f>'Volume projections'!E13</f>
        <v>2358228000</v>
      </c>
      <c r="F8" s="26">
        <f>'Volume projections'!F13</f>
        <v>2346436860</v>
      </c>
      <c r="G8" s="26">
        <f>'Volume projections'!G13</f>
        <v>2334704675.6999998</v>
      </c>
      <c r="H8" s="26">
        <f>'Volume projections'!H13</f>
        <v>2323031152.3214998</v>
      </c>
      <c r="I8" s="26">
        <f>'Volume projections'!I13</f>
        <v>2311415996.5598922</v>
      </c>
      <c r="J8" s="26">
        <f>'Volume projections'!J13</f>
        <v>2299858916.5770926</v>
      </c>
      <c r="K8" s="26">
        <f>'Volume projections'!K13</f>
        <v>2288359621.9942074</v>
      </c>
      <c r="L8" s="26">
        <f>'Volume projections'!L13</f>
        <v>2276917823.8842363</v>
      </c>
      <c r="M8" s="26">
        <f>'Volume projections'!M13</f>
        <v>2265533234.7648153</v>
      </c>
      <c r="N8" s="26">
        <f>'Volume projections'!N13</f>
        <v>2254205568.590991</v>
      </c>
      <c r="O8" s="26">
        <f>'Volume projections'!O13</f>
        <v>2242934540.7480359</v>
      </c>
      <c r="P8" s="26">
        <f>'Volume projections'!P13</f>
        <v>2231719868.0442958</v>
      </c>
      <c r="Q8" s="26">
        <f>'Volume projections'!Q13</f>
        <v>2220561268.7040744</v>
      </c>
      <c r="R8" s="26">
        <f>'Volume projections'!R13</f>
        <v>2209458462.3605542</v>
      </c>
      <c r="S8" s="26">
        <f>'Volume projections'!S13</f>
        <v>2198411170.0487514</v>
      </c>
      <c r="T8" s="26">
        <f>'Volume projections'!T13</f>
        <v>2187419114.1985078</v>
      </c>
      <c r="U8" s="26">
        <f>'Volume projections'!U13</f>
        <v>2176482018.6275153</v>
      </c>
    </row>
    <row r="9" spans="1:23" x14ac:dyDescent="0.35">
      <c r="A9" s="17" t="str">
        <f>'Volume projections'!A14</f>
        <v>Medium growth scenario</v>
      </c>
      <c r="B9" s="26">
        <f>'Volume projections'!B14</f>
        <v>3642630000</v>
      </c>
      <c r="C9" s="26">
        <f>'Volume projections'!C14</f>
        <v>3063954000</v>
      </c>
      <c r="D9" s="26">
        <f>'Volume projections'!D14</f>
        <v>2663016000</v>
      </c>
      <c r="E9" s="26">
        <f>'Volume projections'!E14</f>
        <v>2358228000</v>
      </c>
      <c r="F9" s="26">
        <f>'Volume projections'!F14</f>
        <v>2358228000</v>
      </c>
      <c r="G9" s="26">
        <f>'Volume projections'!G14</f>
        <v>2358228000</v>
      </c>
      <c r="H9" s="26">
        <f>'Volume projections'!H14</f>
        <v>2358228000</v>
      </c>
      <c r="I9" s="26">
        <f>'Volume projections'!I14</f>
        <v>2358228000</v>
      </c>
      <c r="J9" s="26">
        <f>'Volume projections'!J14</f>
        <v>2358228000</v>
      </c>
      <c r="K9" s="26">
        <f>'Volume projections'!K14</f>
        <v>2358228000</v>
      </c>
      <c r="L9" s="26">
        <f>'Volume projections'!L14</f>
        <v>2358228000</v>
      </c>
      <c r="M9" s="26">
        <f>'Volume projections'!M14</f>
        <v>2358228000</v>
      </c>
      <c r="N9" s="26">
        <f>'Volume projections'!N14</f>
        <v>2358228000</v>
      </c>
      <c r="O9" s="26">
        <f>'Volume projections'!O14</f>
        <v>2358228000</v>
      </c>
      <c r="P9" s="26">
        <f>'Volume projections'!P14</f>
        <v>2358228000</v>
      </c>
      <c r="Q9" s="26">
        <f>'Volume projections'!Q14</f>
        <v>2358228000</v>
      </c>
      <c r="R9" s="26">
        <f>'Volume projections'!R14</f>
        <v>2358228000</v>
      </c>
      <c r="S9" s="26">
        <f>'Volume projections'!S14</f>
        <v>2358228000</v>
      </c>
      <c r="T9" s="26">
        <f>'Volume projections'!T14</f>
        <v>2358228000</v>
      </c>
      <c r="U9" s="26">
        <f>'Volume projections'!U14</f>
        <v>2358228000</v>
      </c>
    </row>
    <row r="10" spans="1:23" x14ac:dyDescent="0.35">
      <c r="A10" s="17" t="str">
        <f>'Volume projections'!A15</f>
        <v>High growth scenario</v>
      </c>
      <c r="B10" s="26">
        <f>'Volume projections'!B15</f>
        <v>3642630000</v>
      </c>
      <c r="C10" s="26">
        <f>'Volume projections'!C15</f>
        <v>3063954000</v>
      </c>
      <c r="D10" s="26">
        <f>'Volume projections'!D15</f>
        <v>2663016000</v>
      </c>
      <c r="E10" s="26">
        <f>'Volume projections'!E15</f>
        <v>2358228000</v>
      </c>
      <c r="F10" s="26">
        <f>'Volume projections'!F15</f>
        <v>2370019139.9999995</v>
      </c>
      <c r="G10" s="26">
        <f>'Volume projections'!G15</f>
        <v>2381869235.6999993</v>
      </c>
      <c r="H10" s="26">
        <f>'Volume projections'!H15</f>
        <v>2393778581.878499</v>
      </c>
      <c r="I10" s="26">
        <f>'Volume projections'!I15</f>
        <v>2405747474.7878914</v>
      </c>
      <c r="J10" s="26">
        <f>'Volume projections'!J15</f>
        <v>2417776212.1618304</v>
      </c>
      <c r="K10" s="26">
        <f>'Volume projections'!K15</f>
        <v>2429865093.2226391</v>
      </c>
      <c r="L10" s="26">
        <f>'Volume projections'!L15</f>
        <v>2442014418.6887522</v>
      </c>
      <c r="M10" s="26">
        <f>'Volume projections'!M15</f>
        <v>2454224490.7821956</v>
      </c>
      <c r="N10" s="26">
        <f>'Volume projections'!N15</f>
        <v>2466495613.2361064</v>
      </c>
      <c r="O10" s="26">
        <f>'Volume projections'!O15</f>
        <v>2478828091.3022866</v>
      </c>
      <c r="P10" s="26">
        <f>'Volume projections'!P15</f>
        <v>2491222231.7587976</v>
      </c>
      <c r="Q10" s="26">
        <f>'Volume projections'!Q15</f>
        <v>2503678342.9175916</v>
      </c>
      <c r="R10" s="26">
        <f>'Volume projections'!R15</f>
        <v>2516196734.6321793</v>
      </c>
      <c r="S10" s="26">
        <f>'Volume projections'!S15</f>
        <v>2528777718.3053398</v>
      </c>
      <c r="T10" s="26">
        <f>'Volume projections'!T15</f>
        <v>2541421606.8968663</v>
      </c>
      <c r="U10" s="26">
        <f>'Volume projections'!U15</f>
        <v>2554128714.9313502</v>
      </c>
    </row>
    <row r="12" spans="1:23" x14ac:dyDescent="0.35">
      <c r="A12" s="21" t="str">
        <f>'Volume projections'!A17</f>
        <v>Incoming fixed to fixed traffic</v>
      </c>
    </row>
    <row r="14" spans="1:23" x14ac:dyDescent="0.35">
      <c r="A14" s="17"/>
      <c r="B14" s="52">
        <f>'Volume projections'!B19</f>
        <v>2018</v>
      </c>
      <c r="C14" s="52">
        <f>'Volume projections'!C19</f>
        <v>2019</v>
      </c>
      <c r="D14" s="52">
        <f>'Volume projections'!D19</f>
        <v>2020</v>
      </c>
      <c r="E14" s="52">
        <f>'Volume projections'!E19</f>
        <v>2021</v>
      </c>
      <c r="F14" s="52">
        <f>'Volume projections'!F19</f>
        <v>2022</v>
      </c>
      <c r="G14" s="52">
        <f>'Volume projections'!G19</f>
        <v>2023</v>
      </c>
      <c r="H14" s="52">
        <f>'Volume projections'!H19</f>
        <v>2024</v>
      </c>
      <c r="I14" s="52">
        <f>'Volume projections'!I19</f>
        <v>2025</v>
      </c>
      <c r="J14" s="52">
        <f>'Volume projections'!J19</f>
        <v>2026</v>
      </c>
      <c r="K14" s="52">
        <f>'Volume projections'!K19</f>
        <v>2027</v>
      </c>
      <c r="L14" s="52">
        <f>'Volume projections'!L19</f>
        <v>2028</v>
      </c>
      <c r="M14" s="52">
        <f>'Volume projections'!M19</f>
        <v>2029</v>
      </c>
      <c r="N14" s="52">
        <f>'Volume projections'!N19</f>
        <v>2030</v>
      </c>
      <c r="O14" s="52">
        <f>'Volume projections'!O19</f>
        <v>2031</v>
      </c>
      <c r="P14" s="52">
        <f>'Volume projections'!P19</f>
        <v>2032</v>
      </c>
      <c r="Q14" s="52">
        <f>'Volume projections'!Q19</f>
        <v>2033</v>
      </c>
      <c r="R14" s="52">
        <f>'Volume projections'!R19</f>
        <v>2034</v>
      </c>
      <c r="S14" s="52">
        <f>'Volume projections'!S19</f>
        <v>2035</v>
      </c>
      <c r="T14" s="52">
        <f>'Volume projections'!T19</f>
        <v>2036</v>
      </c>
      <c r="U14" s="52">
        <f>'Volume projections'!U19</f>
        <v>2037</v>
      </c>
    </row>
    <row r="15" spans="1:23" x14ac:dyDescent="0.35">
      <c r="A15" s="17" t="str">
        <f>'Volume projections'!A20</f>
        <v>Low growth scenario</v>
      </c>
      <c r="B15" s="26">
        <f>'Volume projections'!B20</f>
        <v>2428420000</v>
      </c>
      <c r="C15" s="26">
        <f>'Volume projections'!C20</f>
        <v>2042636000</v>
      </c>
      <c r="D15" s="26">
        <f>'Volume projections'!D20</f>
        <v>1775344000</v>
      </c>
      <c r="E15" s="26">
        <f>'Volume projections'!E20</f>
        <v>1572152000</v>
      </c>
      <c r="F15" s="26">
        <f>'Volume projections'!F20</f>
        <v>1564291240</v>
      </c>
      <c r="G15" s="26">
        <f>'Volume projections'!G20</f>
        <v>1556469783.8</v>
      </c>
      <c r="H15" s="26">
        <f>'Volume projections'!H20</f>
        <v>1548687434.881</v>
      </c>
      <c r="I15" s="26">
        <f>'Volume projections'!I20</f>
        <v>1540943997.7065949</v>
      </c>
      <c r="J15" s="26">
        <f>'Volume projections'!J20</f>
        <v>1533239277.7180619</v>
      </c>
      <c r="K15" s="26">
        <f>'Volume projections'!K20</f>
        <v>1525573081.3294716</v>
      </c>
      <c r="L15" s="26">
        <f>'Volume projections'!L20</f>
        <v>1517945215.9228241</v>
      </c>
      <c r="M15" s="26">
        <f>'Volume projections'!M20</f>
        <v>1510355489.84321</v>
      </c>
      <c r="N15" s="26">
        <f>'Volume projections'!N20</f>
        <v>1502803712.3939939</v>
      </c>
      <c r="O15" s="26">
        <f>'Volume projections'!O20</f>
        <v>1495289693.8320239</v>
      </c>
      <c r="P15" s="26">
        <f>'Volume projections'!P20</f>
        <v>1487813245.3628638</v>
      </c>
      <c r="Q15" s="26">
        <f>'Volume projections'!Q20</f>
        <v>1480374179.1360495</v>
      </c>
      <c r="R15" s="26">
        <f>'Volume projections'!R20</f>
        <v>1472972308.2403693</v>
      </c>
      <c r="S15" s="26">
        <f>'Volume projections'!S20</f>
        <v>1465607446.6991675</v>
      </c>
      <c r="T15" s="26">
        <f>'Volume projections'!T20</f>
        <v>1458279409.4656715</v>
      </c>
      <c r="U15" s="26">
        <f>'Volume projections'!U20</f>
        <v>1450988012.4183431</v>
      </c>
    </row>
    <row r="16" spans="1:23" x14ac:dyDescent="0.35">
      <c r="A16" s="17" t="str">
        <f>'Volume projections'!A21</f>
        <v>Medium growth scenario</v>
      </c>
      <c r="B16" s="26">
        <f>'Volume projections'!B21</f>
        <v>2428420000</v>
      </c>
      <c r="C16" s="26">
        <f>'Volume projections'!C21</f>
        <v>2042636000</v>
      </c>
      <c r="D16" s="26">
        <f>'Volume projections'!D21</f>
        <v>1775344000</v>
      </c>
      <c r="E16" s="26">
        <f>'Volume projections'!E21</f>
        <v>1572152000</v>
      </c>
      <c r="F16" s="26">
        <f>'Volume projections'!F21</f>
        <v>1572152000</v>
      </c>
      <c r="G16" s="26">
        <f>'Volume projections'!G21</f>
        <v>1572152000</v>
      </c>
      <c r="H16" s="26">
        <f>'Volume projections'!H21</f>
        <v>1572152000</v>
      </c>
      <c r="I16" s="26">
        <f>'Volume projections'!I21</f>
        <v>1572152000</v>
      </c>
      <c r="J16" s="26">
        <f>'Volume projections'!J21</f>
        <v>1572152000</v>
      </c>
      <c r="K16" s="26">
        <f>'Volume projections'!K21</f>
        <v>1572152000</v>
      </c>
      <c r="L16" s="26">
        <f>'Volume projections'!L21</f>
        <v>1572152000</v>
      </c>
      <c r="M16" s="26">
        <f>'Volume projections'!M21</f>
        <v>1572152000</v>
      </c>
      <c r="N16" s="26">
        <f>'Volume projections'!N21</f>
        <v>1572152000</v>
      </c>
      <c r="O16" s="26">
        <f>'Volume projections'!O21</f>
        <v>1572152000</v>
      </c>
      <c r="P16" s="26">
        <f>'Volume projections'!P21</f>
        <v>1572152000</v>
      </c>
      <c r="Q16" s="26">
        <f>'Volume projections'!Q21</f>
        <v>1572152000</v>
      </c>
      <c r="R16" s="26">
        <f>'Volume projections'!R21</f>
        <v>1572152000</v>
      </c>
      <c r="S16" s="26">
        <f>'Volume projections'!S21</f>
        <v>1572152000</v>
      </c>
      <c r="T16" s="26">
        <f>'Volume projections'!T21</f>
        <v>1572152000</v>
      </c>
      <c r="U16" s="26">
        <f>'Volume projections'!U21</f>
        <v>1572152000</v>
      </c>
    </row>
    <row r="17" spans="1:21" x14ac:dyDescent="0.35">
      <c r="A17" s="17" t="str">
        <f>'Volume projections'!A22</f>
        <v>High growth scenario</v>
      </c>
      <c r="B17" s="26">
        <f>'Volume projections'!B22</f>
        <v>2428420000</v>
      </c>
      <c r="C17" s="26">
        <f>'Volume projections'!C22</f>
        <v>2042636000</v>
      </c>
      <c r="D17" s="26">
        <f>'Volume projections'!D22</f>
        <v>1775344000</v>
      </c>
      <c r="E17" s="26">
        <f>'Volume projections'!E22</f>
        <v>1572152000</v>
      </c>
      <c r="F17" s="26">
        <f>'Volume projections'!F22</f>
        <v>1580012759.9999998</v>
      </c>
      <c r="G17" s="26">
        <f>'Volume projections'!G22</f>
        <v>1587912823.7999995</v>
      </c>
      <c r="H17" s="26">
        <f>'Volume projections'!H22</f>
        <v>1595852387.9189992</v>
      </c>
      <c r="I17" s="26">
        <f>'Volume projections'!I22</f>
        <v>1603831649.8585939</v>
      </c>
      <c r="J17" s="26">
        <f>'Volume projections'!J22</f>
        <v>1611850808.1078868</v>
      </c>
      <c r="K17" s="26">
        <f>'Volume projections'!K22</f>
        <v>1619910062.1484261</v>
      </c>
      <c r="L17" s="26">
        <f>'Volume projections'!L22</f>
        <v>1628009612.459168</v>
      </c>
      <c r="M17" s="26">
        <f>'Volume projections'!M22</f>
        <v>1636149660.5214636</v>
      </c>
      <c r="N17" s="26">
        <f>'Volume projections'!N22</f>
        <v>1644330408.8240707</v>
      </c>
      <c r="O17" s="26">
        <f>'Volume projections'!O22</f>
        <v>1652552060.8681908</v>
      </c>
      <c r="P17" s="26">
        <f>'Volume projections'!P22</f>
        <v>1660814821.1725316</v>
      </c>
      <c r="Q17" s="26">
        <f>'Volume projections'!Q22</f>
        <v>1669118895.278394</v>
      </c>
      <c r="R17" s="26">
        <f>'Volume projections'!R22</f>
        <v>1677464489.7547858</v>
      </c>
      <c r="S17" s="26">
        <f>'Volume projections'!S22</f>
        <v>1685851812.2035596</v>
      </c>
      <c r="T17" s="26">
        <f>'Volume projections'!T22</f>
        <v>1694281071.2645772</v>
      </c>
      <c r="U17" s="26">
        <f>'Volume projections'!U22</f>
        <v>1702752476.6208999</v>
      </c>
    </row>
    <row r="19" spans="1:21" x14ac:dyDescent="0.35">
      <c r="A19" s="21" t="str">
        <f>'Volume projections'!A24</f>
        <v>Off-net fixed to fixed traffic</v>
      </c>
    </row>
    <row r="21" spans="1:21" x14ac:dyDescent="0.35">
      <c r="A21" s="17"/>
      <c r="B21" s="52">
        <f>'Volume projections'!B26</f>
        <v>2018</v>
      </c>
      <c r="C21" s="52">
        <f>'Volume projections'!C26</f>
        <v>2019</v>
      </c>
      <c r="D21" s="52">
        <f>'Volume projections'!D26</f>
        <v>2020</v>
      </c>
      <c r="E21" s="52">
        <f>'Volume projections'!E26</f>
        <v>2021</v>
      </c>
      <c r="F21" s="52">
        <f>'Volume projections'!F26</f>
        <v>2022</v>
      </c>
      <c r="G21" s="52">
        <f>'Volume projections'!G26</f>
        <v>2023</v>
      </c>
      <c r="H21" s="52">
        <f>'Volume projections'!H26</f>
        <v>2024</v>
      </c>
      <c r="I21" s="52">
        <f>'Volume projections'!I26</f>
        <v>2025</v>
      </c>
      <c r="J21" s="52">
        <f>'Volume projections'!J26</f>
        <v>2026</v>
      </c>
      <c r="K21" s="52">
        <f>'Volume projections'!K26</f>
        <v>2027</v>
      </c>
      <c r="L21" s="52">
        <f>'Volume projections'!L26</f>
        <v>2028</v>
      </c>
      <c r="M21" s="52">
        <f>'Volume projections'!M26</f>
        <v>2029</v>
      </c>
      <c r="N21" s="52">
        <f>'Volume projections'!N26</f>
        <v>2030</v>
      </c>
      <c r="O21" s="52">
        <f>'Volume projections'!O26</f>
        <v>2031</v>
      </c>
      <c r="P21" s="52">
        <f>'Volume projections'!P26</f>
        <v>2032</v>
      </c>
      <c r="Q21" s="52">
        <f>'Volume projections'!Q26</f>
        <v>2033</v>
      </c>
      <c r="R21" s="52">
        <f>'Volume projections'!R26</f>
        <v>2034</v>
      </c>
      <c r="S21" s="52">
        <f>'Volume projections'!S26</f>
        <v>2035</v>
      </c>
      <c r="T21" s="52">
        <f>'Volume projections'!T26</f>
        <v>2036</v>
      </c>
      <c r="U21" s="52">
        <f>'Volume projections'!U26</f>
        <v>2037</v>
      </c>
    </row>
    <row r="22" spans="1:21" x14ac:dyDescent="0.35">
      <c r="A22" s="17" t="str">
        <f>'Volume projections'!A27</f>
        <v>Low growth scenario</v>
      </c>
      <c r="B22" s="26">
        <f>'Volume projections'!B27</f>
        <v>2428420000</v>
      </c>
      <c r="C22" s="26">
        <f>'Volume projections'!C27</f>
        <v>2042636000</v>
      </c>
      <c r="D22" s="26">
        <f>'Volume projections'!D27</f>
        <v>1775344000</v>
      </c>
      <c r="E22" s="26">
        <f>'Volume projections'!E27</f>
        <v>1572152000</v>
      </c>
      <c r="F22" s="26">
        <f>'Volume projections'!F27</f>
        <v>1564291240</v>
      </c>
      <c r="G22" s="26">
        <f>'Volume projections'!G27</f>
        <v>1556469783.8</v>
      </c>
      <c r="H22" s="26">
        <f>'Volume projections'!H27</f>
        <v>1548687434.881</v>
      </c>
      <c r="I22" s="26">
        <f>'Volume projections'!I27</f>
        <v>1540943997.7065949</v>
      </c>
      <c r="J22" s="26">
        <f>'Volume projections'!J27</f>
        <v>1533239277.7180619</v>
      </c>
      <c r="K22" s="26">
        <f>'Volume projections'!K27</f>
        <v>1525573081.3294716</v>
      </c>
      <c r="L22" s="26">
        <f>'Volume projections'!L27</f>
        <v>1517945215.9228241</v>
      </c>
      <c r="M22" s="26">
        <f>'Volume projections'!M27</f>
        <v>1510355489.84321</v>
      </c>
      <c r="N22" s="26">
        <f>'Volume projections'!N27</f>
        <v>1502803712.3939939</v>
      </c>
      <c r="O22" s="26">
        <f>'Volume projections'!O27</f>
        <v>1495289693.8320239</v>
      </c>
      <c r="P22" s="26">
        <f>'Volume projections'!P27</f>
        <v>1487813245.3628638</v>
      </c>
      <c r="Q22" s="26">
        <f>'Volume projections'!Q27</f>
        <v>1480374179.1360495</v>
      </c>
      <c r="R22" s="26">
        <f>'Volume projections'!R27</f>
        <v>1472972308.2403693</v>
      </c>
      <c r="S22" s="26">
        <f>'Volume projections'!S27</f>
        <v>1465607446.6991675</v>
      </c>
      <c r="T22" s="26">
        <f>'Volume projections'!T27</f>
        <v>1458279409.4656715</v>
      </c>
      <c r="U22" s="26">
        <f>'Volume projections'!U27</f>
        <v>1450988012.4183431</v>
      </c>
    </row>
    <row r="23" spans="1:21" x14ac:dyDescent="0.35">
      <c r="A23" s="17" t="str">
        <f>'Volume projections'!A28</f>
        <v>Medium growth scenario</v>
      </c>
      <c r="B23" s="26">
        <f>'Volume projections'!B28</f>
        <v>2428420000</v>
      </c>
      <c r="C23" s="26">
        <f>'Volume projections'!C28</f>
        <v>2042636000</v>
      </c>
      <c r="D23" s="26">
        <f>'Volume projections'!D28</f>
        <v>1775344000</v>
      </c>
      <c r="E23" s="26">
        <f>'Volume projections'!E28</f>
        <v>1572152000</v>
      </c>
      <c r="F23" s="26">
        <f>'Volume projections'!F28</f>
        <v>1572152000</v>
      </c>
      <c r="G23" s="26">
        <f>'Volume projections'!G28</f>
        <v>1572152000</v>
      </c>
      <c r="H23" s="26">
        <f>'Volume projections'!H28</f>
        <v>1572152000</v>
      </c>
      <c r="I23" s="26">
        <f>'Volume projections'!I28</f>
        <v>1572152000</v>
      </c>
      <c r="J23" s="26">
        <f>'Volume projections'!J28</f>
        <v>1572152000</v>
      </c>
      <c r="K23" s="26">
        <f>'Volume projections'!K28</f>
        <v>1572152000</v>
      </c>
      <c r="L23" s="26">
        <f>'Volume projections'!L28</f>
        <v>1572152000</v>
      </c>
      <c r="M23" s="26">
        <f>'Volume projections'!M28</f>
        <v>1572152000</v>
      </c>
      <c r="N23" s="26">
        <f>'Volume projections'!N28</f>
        <v>1572152000</v>
      </c>
      <c r="O23" s="26">
        <f>'Volume projections'!O28</f>
        <v>1572152000</v>
      </c>
      <c r="P23" s="26">
        <f>'Volume projections'!P28</f>
        <v>1572152000</v>
      </c>
      <c r="Q23" s="26">
        <f>'Volume projections'!Q28</f>
        <v>1572152000</v>
      </c>
      <c r="R23" s="26">
        <f>'Volume projections'!R28</f>
        <v>1572152000</v>
      </c>
      <c r="S23" s="26">
        <f>'Volume projections'!S28</f>
        <v>1572152000</v>
      </c>
      <c r="T23" s="26">
        <f>'Volume projections'!T28</f>
        <v>1572152000</v>
      </c>
      <c r="U23" s="26">
        <f>'Volume projections'!U28</f>
        <v>1572152000</v>
      </c>
    </row>
    <row r="24" spans="1:21" x14ac:dyDescent="0.35">
      <c r="A24" s="17" t="str">
        <f>'Volume projections'!A29</f>
        <v>High growth scenario</v>
      </c>
      <c r="B24" s="26">
        <f>'Volume projections'!B29</f>
        <v>2428420000</v>
      </c>
      <c r="C24" s="26">
        <f>'Volume projections'!C29</f>
        <v>2042636000</v>
      </c>
      <c r="D24" s="26">
        <f>'Volume projections'!D29</f>
        <v>1775344000</v>
      </c>
      <c r="E24" s="26">
        <f>'Volume projections'!E29</f>
        <v>1572152000</v>
      </c>
      <c r="F24" s="26">
        <f>'Volume projections'!F29</f>
        <v>1580012759.9999998</v>
      </c>
      <c r="G24" s="26">
        <f>'Volume projections'!G29</f>
        <v>1587912823.7999995</v>
      </c>
      <c r="H24" s="26">
        <f>'Volume projections'!H29</f>
        <v>1595852387.9189992</v>
      </c>
      <c r="I24" s="26">
        <f>'Volume projections'!I29</f>
        <v>1603831649.8585939</v>
      </c>
      <c r="J24" s="26">
        <f>'Volume projections'!J29</f>
        <v>1611850808.1078868</v>
      </c>
      <c r="K24" s="26">
        <f>'Volume projections'!K29</f>
        <v>1619910062.1484261</v>
      </c>
      <c r="L24" s="26">
        <f>'Volume projections'!L29</f>
        <v>1628009612.459168</v>
      </c>
      <c r="M24" s="26">
        <f>'Volume projections'!M29</f>
        <v>1636149660.5214636</v>
      </c>
      <c r="N24" s="26">
        <f>'Volume projections'!N29</f>
        <v>1644330408.8240707</v>
      </c>
      <c r="O24" s="26">
        <f>'Volume projections'!O29</f>
        <v>1652552060.8681908</v>
      </c>
      <c r="P24" s="26">
        <f>'Volume projections'!P29</f>
        <v>1660814821.1725316</v>
      </c>
      <c r="Q24" s="26">
        <f>'Volume projections'!Q29</f>
        <v>1669118895.278394</v>
      </c>
      <c r="R24" s="26">
        <f>'Volume projections'!R29</f>
        <v>1677464489.7547858</v>
      </c>
      <c r="S24" s="26">
        <f>'Volume projections'!S29</f>
        <v>1685851812.2035596</v>
      </c>
      <c r="T24" s="26">
        <f>'Volume projections'!T29</f>
        <v>1694281071.2645772</v>
      </c>
      <c r="U24" s="26">
        <f>'Volume projections'!U29</f>
        <v>1702752476.6208999</v>
      </c>
    </row>
    <row r="26" spans="1:21" x14ac:dyDescent="0.35">
      <c r="A26" s="21" t="str">
        <f>'Volume projections'!A31</f>
        <v>Fixed to Mobile Telephone traffic</v>
      </c>
    </row>
    <row r="28" spans="1:21" x14ac:dyDescent="0.35">
      <c r="A28" s="17"/>
      <c r="B28" s="52">
        <f>'Volume projections'!B33</f>
        <v>2018</v>
      </c>
      <c r="C28" s="52">
        <f>'Volume projections'!C33</f>
        <v>2019</v>
      </c>
      <c r="D28" s="52">
        <f>'Volume projections'!D33</f>
        <v>2020</v>
      </c>
      <c r="E28" s="52">
        <f>'Volume projections'!E33</f>
        <v>2021</v>
      </c>
      <c r="F28" s="52">
        <f>'Volume projections'!F33</f>
        <v>2022</v>
      </c>
      <c r="G28" s="52">
        <f>'Volume projections'!G33</f>
        <v>2023</v>
      </c>
      <c r="H28" s="52">
        <f>'Volume projections'!H33</f>
        <v>2024</v>
      </c>
      <c r="I28" s="52">
        <f>'Volume projections'!I33</f>
        <v>2025</v>
      </c>
      <c r="J28" s="52">
        <f>'Volume projections'!J33</f>
        <v>2026</v>
      </c>
      <c r="K28" s="52">
        <f>'Volume projections'!K33</f>
        <v>2027</v>
      </c>
      <c r="L28" s="52">
        <f>'Volume projections'!L33</f>
        <v>2028</v>
      </c>
      <c r="M28" s="52">
        <f>'Volume projections'!M33</f>
        <v>2029</v>
      </c>
      <c r="N28" s="52">
        <f>'Volume projections'!N33</f>
        <v>2030</v>
      </c>
      <c r="O28" s="52">
        <f>'Volume projections'!O33</f>
        <v>2031</v>
      </c>
      <c r="P28" s="52">
        <f>'Volume projections'!P33</f>
        <v>2032</v>
      </c>
      <c r="Q28" s="52">
        <f>'Volume projections'!Q33</f>
        <v>2033</v>
      </c>
      <c r="R28" s="52">
        <f>'Volume projections'!R33</f>
        <v>2034</v>
      </c>
      <c r="S28" s="52">
        <f>'Volume projections'!S33</f>
        <v>2035</v>
      </c>
      <c r="T28" s="52">
        <f>'Volume projections'!T33</f>
        <v>2036</v>
      </c>
      <c r="U28" s="52">
        <f>'Volume projections'!U33</f>
        <v>2037</v>
      </c>
    </row>
    <row r="29" spans="1:21" x14ac:dyDescent="0.35">
      <c r="A29" s="17" t="str">
        <f>'Volume projections'!A34</f>
        <v>Low growth scenario</v>
      </c>
      <c r="B29" s="26">
        <f>'Volume projections'!B34</f>
        <v>8144270000</v>
      </c>
      <c r="C29" s="26">
        <f>'Volume projections'!C34</f>
        <v>5948320000</v>
      </c>
      <c r="D29" s="26">
        <f>'Volume projections'!D34</f>
        <v>6424540000</v>
      </c>
      <c r="E29" s="26">
        <f>'Volume projections'!E34</f>
        <v>6026100000</v>
      </c>
      <c r="F29" s="26">
        <f>'Volume projections'!F34</f>
        <v>5995969500</v>
      </c>
      <c r="G29" s="26">
        <f>'Volume projections'!G34</f>
        <v>5965989652.5</v>
      </c>
      <c r="H29" s="26">
        <f>'Volume projections'!H34</f>
        <v>5936159704.2375002</v>
      </c>
      <c r="I29" s="26">
        <f>'Volume projections'!I34</f>
        <v>5906478905.7163124</v>
      </c>
      <c r="J29" s="26">
        <f>'Volume projections'!J34</f>
        <v>5876946511.1877308</v>
      </c>
      <c r="K29" s="26">
        <f>'Volume projections'!K34</f>
        <v>5847561778.6317921</v>
      </c>
      <c r="L29" s="26">
        <f>'Volume projections'!L34</f>
        <v>5818323969.7386332</v>
      </c>
      <c r="M29" s="26">
        <f>'Volume projections'!M34</f>
        <v>5789232349.8899403</v>
      </c>
      <c r="N29" s="26">
        <f>'Volume projections'!N34</f>
        <v>5760286188.1404905</v>
      </c>
      <c r="O29" s="26">
        <f>'Volume projections'!O34</f>
        <v>5731484757.1997881</v>
      </c>
      <c r="P29" s="26">
        <f>'Volume projections'!P34</f>
        <v>5702827333.4137888</v>
      </c>
      <c r="Q29" s="26">
        <f>'Volume projections'!Q34</f>
        <v>5674313196.7467194</v>
      </c>
      <c r="R29" s="26">
        <f>'Volume projections'!R34</f>
        <v>5645941630.7629862</v>
      </c>
      <c r="S29" s="26">
        <f>'Volume projections'!S34</f>
        <v>5617711922.6091709</v>
      </c>
      <c r="T29" s="26">
        <f>'Volume projections'!T34</f>
        <v>5589623362.9961252</v>
      </c>
      <c r="U29" s="26">
        <f>'Volume projections'!U34</f>
        <v>5561675246.1811447</v>
      </c>
    </row>
    <row r="30" spans="1:21" x14ac:dyDescent="0.35">
      <c r="A30" s="17" t="str">
        <f>'Volume projections'!A35</f>
        <v>Medium growth scenario</v>
      </c>
      <c r="B30" s="26">
        <f>'Volume projections'!B35</f>
        <v>8144270000</v>
      </c>
      <c r="C30" s="26">
        <f>'Volume projections'!C35</f>
        <v>5948320000</v>
      </c>
      <c r="D30" s="26">
        <f>'Volume projections'!D35</f>
        <v>6424540000</v>
      </c>
      <c r="E30" s="26">
        <f>'Volume projections'!E35</f>
        <v>6026100000</v>
      </c>
      <c r="F30" s="26">
        <f>'Volume projections'!F35</f>
        <v>6026100000</v>
      </c>
      <c r="G30" s="26">
        <f>'Volume projections'!G35</f>
        <v>6026100000</v>
      </c>
      <c r="H30" s="26">
        <f>'Volume projections'!H35</f>
        <v>6026100000</v>
      </c>
      <c r="I30" s="26">
        <f>'Volume projections'!I35</f>
        <v>6026100000</v>
      </c>
      <c r="J30" s="26">
        <f>'Volume projections'!J35</f>
        <v>6026100000</v>
      </c>
      <c r="K30" s="26">
        <f>'Volume projections'!K35</f>
        <v>6026100000</v>
      </c>
      <c r="L30" s="26">
        <f>'Volume projections'!L35</f>
        <v>6026100000</v>
      </c>
      <c r="M30" s="26">
        <f>'Volume projections'!M35</f>
        <v>6026100000</v>
      </c>
      <c r="N30" s="26">
        <f>'Volume projections'!N35</f>
        <v>6026100000</v>
      </c>
      <c r="O30" s="26">
        <f>'Volume projections'!O35</f>
        <v>6026100000</v>
      </c>
      <c r="P30" s="26">
        <f>'Volume projections'!P35</f>
        <v>6026100000</v>
      </c>
      <c r="Q30" s="26">
        <f>'Volume projections'!Q35</f>
        <v>6026100000</v>
      </c>
      <c r="R30" s="26">
        <f>'Volume projections'!R35</f>
        <v>6026100000</v>
      </c>
      <c r="S30" s="26">
        <f>'Volume projections'!S35</f>
        <v>6026100000</v>
      </c>
      <c r="T30" s="26">
        <f>'Volume projections'!T35</f>
        <v>6026100000</v>
      </c>
      <c r="U30" s="26">
        <f>'Volume projections'!U35</f>
        <v>6026100000</v>
      </c>
    </row>
    <row r="31" spans="1:21" x14ac:dyDescent="0.35">
      <c r="A31" s="17" t="str">
        <f>'Volume projections'!A36</f>
        <v>High growth scenario</v>
      </c>
      <c r="B31" s="26">
        <f>'Volume projections'!B36</f>
        <v>8144270000</v>
      </c>
      <c r="C31" s="26">
        <f>'Volume projections'!C36</f>
        <v>5948320000</v>
      </c>
      <c r="D31" s="26">
        <f>'Volume projections'!D36</f>
        <v>6424540000</v>
      </c>
      <c r="E31" s="26">
        <f>'Volume projections'!E36</f>
        <v>6026100000</v>
      </c>
      <c r="F31" s="26">
        <f>'Volume projections'!F36</f>
        <v>6056230499.999999</v>
      </c>
      <c r="G31" s="26">
        <f>'Volume projections'!G36</f>
        <v>6086511652.4999981</v>
      </c>
      <c r="H31" s="26">
        <f>'Volume projections'!H36</f>
        <v>6116944210.7624979</v>
      </c>
      <c r="I31" s="26">
        <f>'Volume projections'!I36</f>
        <v>6147528931.8163099</v>
      </c>
      <c r="J31" s="26">
        <f>'Volume projections'!J36</f>
        <v>6178266576.4753904</v>
      </c>
      <c r="K31" s="26">
        <f>'Volume projections'!K36</f>
        <v>6209157909.3577671</v>
      </c>
      <c r="L31" s="26">
        <f>'Volume projections'!L36</f>
        <v>6240203698.9045553</v>
      </c>
      <c r="M31" s="26">
        <f>'Volume projections'!M36</f>
        <v>6271404717.3990774</v>
      </c>
      <c r="N31" s="26">
        <f>'Volume projections'!N36</f>
        <v>6302761740.9860725</v>
      </c>
      <c r="O31" s="26">
        <f>'Volume projections'!O36</f>
        <v>6334275549.6910019</v>
      </c>
      <c r="P31" s="26">
        <f>'Volume projections'!P36</f>
        <v>6365946927.439456</v>
      </c>
      <c r="Q31" s="26">
        <f>'Volume projections'!Q36</f>
        <v>6397776662.0766525</v>
      </c>
      <c r="R31" s="26">
        <f>'Volume projections'!R36</f>
        <v>6429765545.3870354</v>
      </c>
      <c r="S31" s="26">
        <f>'Volume projections'!S36</f>
        <v>6461914373.1139698</v>
      </c>
      <c r="T31" s="26">
        <f>'Volume projections'!T36</f>
        <v>6494223944.9795389</v>
      </c>
      <c r="U31" s="26">
        <f>'Volume projections'!U36</f>
        <v>6526695064.7044363</v>
      </c>
    </row>
    <row r="33" spans="1:21" x14ac:dyDescent="0.35">
      <c r="A33" s="21" t="str">
        <f>'Volume projections'!A38</f>
        <v>Outgoing mobile traffic to fixed networks</v>
      </c>
    </row>
    <row r="35" spans="1:21" x14ac:dyDescent="0.35">
      <c r="A35" s="17"/>
      <c r="B35" s="52">
        <f>'Volume projections'!B40</f>
        <v>2018</v>
      </c>
      <c r="C35" s="52">
        <f>'Volume projections'!C40</f>
        <v>2019</v>
      </c>
      <c r="D35" s="52">
        <f>'Volume projections'!D40</f>
        <v>2020</v>
      </c>
      <c r="E35" s="52">
        <f>'Volume projections'!E40</f>
        <v>2021</v>
      </c>
      <c r="F35" s="52">
        <f>'Volume projections'!F40</f>
        <v>2022</v>
      </c>
      <c r="G35" s="52">
        <f>'Volume projections'!G40</f>
        <v>2023</v>
      </c>
      <c r="H35" s="52">
        <f>'Volume projections'!H40</f>
        <v>2024</v>
      </c>
      <c r="I35" s="52">
        <f>'Volume projections'!I40</f>
        <v>2025</v>
      </c>
      <c r="J35" s="52">
        <f>'Volume projections'!J40</f>
        <v>2026</v>
      </c>
      <c r="K35" s="52">
        <f>'Volume projections'!K40</f>
        <v>2027</v>
      </c>
      <c r="L35" s="52">
        <f>'Volume projections'!L40</f>
        <v>2028</v>
      </c>
      <c r="M35" s="52">
        <f>'Volume projections'!M40</f>
        <v>2029</v>
      </c>
      <c r="N35" s="52">
        <f>'Volume projections'!N40</f>
        <v>2030</v>
      </c>
      <c r="O35" s="52">
        <f>'Volume projections'!O40</f>
        <v>2031</v>
      </c>
      <c r="P35" s="52">
        <f>'Volume projections'!P40</f>
        <v>2032</v>
      </c>
      <c r="Q35" s="52">
        <f>'Volume projections'!Q40</f>
        <v>2033</v>
      </c>
      <c r="R35" s="52">
        <f>'Volume projections'!R40</f>
        <v>2034</v>
      </c>
      <c r="S35" s="52">
        <f>'Volume projections'!S40</f>
        <v>2035</v>
      </c>
      <c r="T35" s="52">
        <f>'Volume projections'!T40</f>
        <v>2036</v>
      </c>
      <c r="U35" s="52">
        <f>'Volume projections'!U40</f>
        <v>2037</v>
      </c>
    </row>
    <row r="36" spans="1:21" x14ac:dyDescent="0.35">
      <c r="A36" s="17" t="str">
        <f>'Volume projections'!A41</f>
        <v>Low growth scenario</v>
      </c>
      <c r="B36" s="26">
        <f>'Volume projections'!B41</f>
        <v>2366640000</v>
      </c>
      <c r="C36" s="26">
        <f>'Volume projections'!C41</f>
        <v>2463320000</v>
      </c>
      <c r="D36" s="26">
        <f>'Volume projections'!D41</f>
        <v>2945570000</v>
      </c>
      <c r="E36" s="26">
        <f>'Volume projections'!E41</f>
        <v>2744210000</v>
      </c>
      <c r="F36" s="26">
        <f>'Volume projections'!F41</f>
        <v>2730488950</v>
      </c>
      <c r="G36" s="26">
        <f>'Volume projections'!G41</f>
        <v>2716836505.25</v>
      </c>
      <c r="H36" s="26">
        <f>'Volume projections'!H41</f>
        <v>2703252322.7237501</v>
      </c>
      <c r="I36" s="26">
        <f>'Volume projections'!I41</f>
        <v>2689736061.1101313</v>
      </c>
      <c r="J36" s="26">
        <f>'Volume projections'!J41</f>
        <v>2676287380.8045807</v>
      </c>
      <c r="K36" s="26">
        <f>'Volume projections'!K41</f>
        <v>2662905943.900558</v>
      </c>
      <c r="L36" s="26">
        <f>'Volume projections'!L41</f>
        <v>2649591414.1810551</v>
      </c>
      <c r="M36" s="26">
        <f>'Volume projections'!M41</f>
        <v>2636343457.1101499</v>
      </c>
      <c r="N36" s="26">
        <f>'Volume projections'!N41</f>
        <v>2623161739.8245993</v>
      </c>
      <c r="O36" s="26">
        <f>'Volume projections'!O41</f>
        <v>2610045931.1254764</v>
      </c>
      <c r="P36" s="26">
        <f>'Volume projections'!P41</f>
        <v>2596995701.4698491</v>
      </c>
      <c r="Q36" s="26">
        <f>'Volume projections'!Q41</f>
        <v>2584010722.9624996</v>
      </c>
      <c r="R36" s="26">
        <f>'Volume projections'!R41</f>
        <v>2571090669.3476872</v>
      </c>
      <c r="S36" s="26">
        <f>'Volume projections'!S41</f>
        <v>2558235216.0009489</v>
      </c>
      <c r="T36" s="26">
        <f>'Volume projections'!T41</f>
        <v>2545444039.9209442</v>
      </c>
      <c r="U36" s="26">
        <f>'Volume projections'!U41</f>
        <v>2532716819.7213397</v>
      </c>
    </row>
    <row r="37" spans="1:21" x14ac:dyDescent="0.35">
      <c r="A37" s="17" t="str">
        <f>'Volume projections'!A42</f>
        <v>Medium growth scenario</v>
      </c>
      <c r="B37" s="26">
        <f>'Volume projections'!B42</f>
        <v>2366640000</v>
      </c>
      <c r="C37" s="26">
        <f>'Volume projections'!C42</f>
        <v>2463320000</v>
      </c>
      <c r="D37" s="26">
        <f>'Volume projections'!D42</f>
        <v>2945570000</v>
      </c>
      <c r="E37" s="26">
        <f>'Volume projections'!E42</f>
        <v>2744210000</v>
      </c>
      <c r="F37" s="26">
        <f>'Volume projections'!F42</f>
        <v>2744210000</v>
      </c>
      <c r="G37" s="26">
        <f>'Volume projections'!G42</f>
        <v>2744210000</v>
      </c>
      <c r="H37" s="26">
        <f>'Volume projections'!H42</f>
        <v>2744210000</v>
      </c>
      <c r="I37" s="26">
        <f>'Volume projections'!I42</f>
        <v>2744210000</v>
      </c>
      <c r="J37" s="26">
        <f>'Volume projections'!J42</f>
        <v>2744210000</v>
      </c>
      <c r="K37" s="26">
        <f>'Volume projections'!K42</f>
        <v>2744210000</v>
      </c>
      <c r="L37" s="26">
        <f>'Volume projections'!L42</f>
        <v>2744210000</v>
      </c>
      <c r="M37" s="26">
        <f>'Volume projections'!M42</f>
        <v>2744210000</v>
      </c>
      <c r="N37" s="26">
        <f>'Volume projections'!N42</f>
        <v>2744210000</v>
      </c>
      <c r="O37" s="26">
        <f>'Volume projections'!O42</f>
        <v>2744210000</v>
      </c>
      <c r="P37" s="26">
        <f>'Volume projections'!P42</f>
        <v>2744210000</v>
      </c>
      <c r="Q37" s="26">
        <f>'Volume projections'!Q42</f>
        <v>2744210000</v>
      </c>
      <c r="R37" s="26">
        <f>'Volume projections'!R42</f>
        <v>2744210000</v>
      </c>
      <c r="S37" s="26">
        <f>'Volume projections'!S42</f>
        <v>2744210000</v>
      </c>
      <c r="T37" s="26">
        <f>'Volume projections'!T42</f>
        <v>2744210000</v>
      </c>
      <c r="U37" s="26">
        <f>'Volume projections'!U42</f>
        <v>2744210000</v>
      </c>
    </row>
    <row r="38" spans="1:21" x14ac:dyDescent="0.35">
      <c r="A38" s="17" t="str">
        <f>'Volume projections'!A43</f>
        <v>High growth scenario</v>
      </c>
      <c r="B38" s="26">
        <f>'Volume projections'!B43</f>
        <v>2366640000</v>
      </c>
      <c r="C38" s="26">
        <f>'Volume projections'!C43</f>
        <v>2463320000</v>
      </c>
      <c r="D38" s="26">
        <f>'Volume projections'!D43</f>
        <v>2945570000</v>
      </c>
      <c r="E38" s="26">
        <f>'Volume projections'!E43</f>
        <v>2744210000</v>
      </c>
      <c r="F38" s="26">
        <f>'Volume projections'!F43</f>
        <v>2757931049.9999995</v>
      </c>
      <c r="G38" s="26">
        <f>'Volume projections'!G43</f>
        <v>2771720705.249999</v>
      </c>
      <c r="H38" s="26">
        <f>'Volume projections'!H43</f>
        <v>2785579308.7762489</v>
      </c>
      <c r="I38" s="26">
        <f>'Volume projections'!I43</f>
        <v>2799507205.3201299</v>
      </c>
      <c r="J38" s="26">
        <f>'Volume projections'!J43</f>
        <v>2813504741.3467302</v>
      </c>
      <c r="K38" s="26">
        <f>'Volume projections'!K43</f>
        <v>2827572265.0534635</v>
      </c>
      <c r="L38" s="26">
        <f>'Volume projections'!L43</f>
        <v>2841710126.3787303</v>
      </c>
      <c r="M38" s="26">
        <f>'Volume projections'!M43</f>
        <v>2855918677.0106235</v>
      </c>
      <c r="N38" s="26">
        <f>'Volume projections'!N43</f>
        <v>2870198270.3956761</v>
      </c>
      <c r="O38" s="26">
        <f>'Volume projections'!O43</f>
        <v>2884549261.7476544</v>
      </c>
      <c r="P38" s="26">
        <f>'Volume projections'!P43</f>
        <v>2898972008.0563922</v>
      </c>
      <c r="Q38" s="26">
        <f>'Volume projections'!Q43</f>
        <v>2913466868.096674</v>
      </c>
      <c r="R38" s="26">
        <f>'Volume projections'!R43</f>
        <v>2928034202.4371572</v>
      </c>
      <c r="S38" s="26">
        <f>'Volume projections'!S43</f>
        <v>2942674373.4493427</v>
      </c>
      <c r="T38" s="26">
        <f>'Volume projections'!T43</f>
        <v>2957387745.3165894</v>
      </c>
      <c r="U38" s="26">
        <f>'Volume projections'!U43</f>
        <v>2972174684.0431719</v>
      </c>
    </row>
    <row r="40" spans="1:21" x14ac:dyDescent="0.35">
      <c r="A40" s="21" t="str">
        <f>'Volume projections'!A45</f>
        <v xml:space="preserve">International incoming fixed telephone traffic </v>
      </c>
    </row>
    <row r="41" spans="1:21" x14ac:dyDescent="0.35">
      <c r="A41" s="17"/>
      <c r="B41" s="52">
        <f>'Volume projections'!B47</f>
        <v>2018</v>
      </c>
      <c r="C41" s="52">
        <f>'Volume projections'!C47</f>
        <v>2019</v>
      </c>
      <c r="D41" s="52">
        <f>'Volume projections'!D47</f>
        <v>2020</v>
      </c>
      <c r="E41" s="52">
        <f>'Volume projections'!E47</f>
        <v>2021</v>
      </c>
      <c r="F41" s="52">
        <f>'Volume projections'!F47</f>
        <v>2022</v>
      </c>
      <c r="G41" s="52">
        <f>'Volume projections'!G47</f>
        <v>2023</v>
      </c>
      <c r="H41" s="52">
        <f>'Volume projections'!H47</f>
        <v>2024</v>
      </c>
      <c r="I41" s="52">
        <f>'Volume projections'!I47</f>
        <v>2025</v>
      </c>
      <c r="J41" s="52">
        <f>'Volume projections'!J47</f>
        <v>2026</v>
      </c>
      <c r="K41" s="52">
        <f>'Volume projections'!K47</f>
        <v>2027</v>
      </c>
      <c r="L41" s="52">
        <f>'Volume projections'!L47</f>
        <v>2028</v>
      </c>
      <c r="M41" s="52">
        <f>'Volume projections'!M47</f>
        <v>2029</v>
      </c>
      <c r="N41" s="52">
        <f>'Volume projections'!N47</f>
        <v>2030</v>
      </c>
      <c r="O41" s="52">
        <f>'Volume projections'!O47</f>
        <v>2031</v>
      </c>
      <c r="P41" s="52">
        <f>'Volume projections'!P47</f>
        <v>2032</v>
      </c>
      <c r="Q41" s="52">
        <f>'Volume projections'!Q47</f>
        <v>2033</v>
      </c>
      <c r="R41" s="52">
        <f>'Volume projections'!R47</f>
        <v>2034</v>
      </c>
      <c r="S41" s="52">
        <f>'Volume projections'!S47</f>
        <v>2035</v>
      </c>
      <c r="T41" s="52">
        <f>'Volume projections'!T47</f>
        <v>2036</v>
      </c>
      <c r="U41" s="52">
        <f>'Volume projections'!U47</f>
        <v>2037</v>
      </c>
    </row>
    <row r="42" spans="1:21" x14ac:dyDescent="0.35">
      <c r="A42" s="17" t="str">
        <f>'Volume projections'!A48</f>
        <v>Low growth scenario</v>
      </c>
      <c r="B42" s="26">
        <f>'Volume projections'!B48</f>
        <v>360749000</v>
      </c>
      <c r="C42" s="26">
        <f>'Volume projections'!C48</f>
        <v>158098000</v>
      </c>
      <c r="D42" s="26">
        <f>'Volume projections'!D48</f>
        <v>103175000</v>
      </c>
      <c r="E42" s="26">
        <f>'Volume projections'!E48</f>
        <v>45128600</v>
      </c>
      <c r="F42" s="26">
        <f>'Volume projections'!F48</f>
        <v>44902957</v>
      </c>
      <c r="G42" s="26">
        <f>'Volume projections'!G48</f>
        <v>44678442.214999996</v>
      </c>
      <c r="H42" s="26">
        <f>'Volume projections'!H48</f>
        <v>44455050.003924996</v>
      </c>
      <c r="I42" s="26">
        <f>'Volume projections'!I48</f>
        <v>44232774.753905371</v>
      </c>
      <c r="J42" s="26">
        <f>'Volume projections'!J48</f>
        <v>44011610.880135842</v>
      </c>
      <c r="K42" s="26">
        <f>'Volume projections'!K48</f>
        <v>43791552.825735159</v>
      </c>
      <c r="L42" s="26">
        <f>'Volume projections'!L48</f>
        <v>43572595.061606482</v>
      </c>
      <c r="M42" s="26">
        <f>'Volume projections'!M48</f>
        <v>43354732.086298451</v>
      </c>
      <c r="N42" s="26">
        <f>'Volume projections'!N48</f>
        <v>43137958.425866961</v>
      </c>
      <c r="O42" s="26">
        <f>'Volume projections'!O48</f>
        <v>42922268.633737624</v>
      </c>
      <c r="P42" s="26">
        <f>'Volume projections'!P48</f>
        <v>42707657.290568933</v>
      </c>
      <c r="Q42" s="26">
        <f>'Volume projections'!Q48</f>
        <v>42494119.004116088</v>
      </c>
      <c r="R42" s="26">
        <f>'Volume projections'!R48</f>
        <v>42281648.409095511</v>
      </c>
      <c r="S42" s="26">
        <f>'Volume projections'!S48</f>
        <v>42070240.167050034</v>
      </c>
      <c r="T42" s="26">
        <f>'Volume projections'!T48</f>
        <v>41859888.966214783</v>
      </c>
      <c r="U42" s="26">
        <f>'Volume projections'!U48</f>
        <v>41650589.52138371</v>
      </c>
    </row>
    <row r="43" spans="1:21" x14ac:dyDescent="0.35">
      <c r="A43" s="17" t="str">
        <f>'Volume projections'!A49</f>
        <v>Medium growth scenario</v>
      </c>
      <c r="B43" s="26">
        <f>'Volume projections'!B49</f>
        <v>360749000</v>
      </c>
      <c r="C43" s="26">
        <f>'Volume projections'!C49</f>
        <v>158098000</v>
      </c>
      <c r="D43" s="26">
        <f>'Volume projections'!D49</f>
        <v>103175000</v>
      </c>
      <c r="E43" s="26">
        <f>'Volume projections'!E49</f>
        <v>45128600</v>
      </c>
      <c r="F43" s="26">
        <f>'Volume projections'!F49</f>
        <v>45128600</v>
      </c>
      <c r="G43" s="26">
        <f>'Volume projections'!G49</f>
        <v>45128600</v>
      </c>
      <c r="H43" s="26">
        <f>'Volume projections'!H49</f>
        <v>45128600</v>
      </c>
      <c r="I43" s="26">
        <f>'Volume projections'!I49</f>
        <v>45128600</v>
      </c>
      <c r="J43" s="26">
        <f>'Volume projections'!J49</f>
        <v>45128600</v>
      </c>
      <c r="K43" s="26">
        <f>'Volume projections'!K49</f>
        <v>45128600</v>
      </c>
      <c r="L43" s="26">
        <f>'Volume projections'!L49</f>
        <v>45128600</v>
      </c>
      <c r="M43" s="26">
        <f>'Volume projections'!M49</f>
        <v>45128600</v>
      </c>
      <c r="N43" s="26">
        <f>'Volume projections'!N49</f>
        <v>45128600</v>
      </c>
      <c r="O43" s="26">
        <f>'Volume projections'!O49</f>
        <v>45128600</v>
      </c>
      <c r="P43" s="26">
        <f>'Volume projections'!P49</f>
        <v>45128600</v>
      </c>
      <c r="Q43" s="26">
        <f>'Volume projections'!Q49</f>
        <v>45128600</v>
      </c>
      <c r="R43" s="26">
        <f>'Volume projections'!R49</f>
        <v>45128600</v>
      </c>
      <c r="S43" s="26">
        <f>'Volume projections'!S49</f>
        <v>45128600</v>
      </c>
      <c r="T43" s="26">
        <f>'Volume projections'!T49</f>
        <v>45128600</v>
      </c>
      <c r="U43" s="26">
        <f>'Volume projections'!U49</f>
        <v>45128600</v>
      </c>
    </row>
    <row r="44" spans="1:21" x14ac:dyDescent="0.35">
      <c r="A44" s="17" t="str">
        <f>'Volume projections'!A50</f>
        <v>High growth scenario</v>
      </c>
      <c r="B44" s="26">
        <f>'Volume projections'!B50</f>
        <v>360749000</v>
      </c>
      <c r="C44" s="26">
        <f>'Volume projections'!C50</f>
        <v>158098000</v>
      </c>
      <c r="D44" s="26">
        <f>'Volume projections'!D50</f>
        <v>103175000</v>
      </c>
      <c r="E44" s="26">
        <f>'Volume projections'!E50</f>
        <v>45128600</v>
      </c>
      <c r="F44" s="26">
        <f>'Volume projections'!F50</f>
        <v>45354242.999999993</v>
      </c>
      <c r="G44" s="26">
        <f>'Volume projections'!G50</f>
        <v>45581014.214999989</v>
      </c>
      <c r="H44" s="26">
        <f>'Volume projections'!H50</f>
        <v>45808919.286074981</v>
      </c>
      <c r="I44" s="26">
        <f>'Volume projections'!I50</f>
        <v>46037963.88250535</v>
      </c>
      <c r="J44" s="26">
        <f>'Volume projections'!J50</f>
        <v>46268153.701917872</v>
      </c>
      <c r="K44" s="26">
        <f>'Volume projections'!K50</f>
        <v>46499494.470427454</v>
      </c>
      <c r="L44" s="26">
        <f>'Volume projections'!L50</f>
        <v>46731991.942779586</v>
      </c>
      <c r="M44" s="26">
        <f>'Volume projections'!M50</f>
        <v>46965651.902493477</v>
      </c>
      <c r="N44" s="26">
        <f>'Volume projections'!N50</f>
        <v>47200480.162005939</v>
      </c>
      <c r="O44" s="26">
        <f>'Volume projections'!O50</f>
        <v>47436482.562815964</v>
      </c>
      <c r="P44" s="26">
        <f>'Volume projections'!P50</f>
        <v>47673664.975630037</v>
      </c>
      <c r="Q44" s="26">
        <f>'Volume projections'!Q50</f>
        <v>47912033.300508186</v>
      </c>
      <c r="R44" s="26">
        <f>'Volume projections'!R50</f>
        <v>48151593.467010722</v>
      </c>
      <c r="S44" s="26">
        <f>'Volume projections'!S50</f>
        <v>48392351.434345767</v>
      </c>
      <c r="T44" s="26">
        <f>'Volume projections'!T50</f>
        <v>48634313.191517487</v>
      </c>
      <c r="U44" s="26">
        <f>'Volume projections'!U50</f>
        <v>48877484.757475071</v>
      </c>
    </row>
    <row r="46" spans="1:21" x14ac:dyDescent="0.35">
      <c r="A46" s="21" t="str">
        <f>'Volume projections'!A52</f>
        <v>International outgoing fixed telephone traffic</v>
      </c>
    </row>
    <row r="47" spans="1:21" x14ac:dyDescent="0.35">
      <c r="A47" s="17"/>
      <c r="B47" s="29">
        <f>'Volume projections'!B54</f>
        <v>2018</v>
      </c>
      <c r="C47" s="29">
        <f>'Volume projections'!C54</f>
        <v>2019</v>
      </c>
      <c r="D47" s="29">
        <f>'Volume projections'!D54</f>
        <v>2020</v>
      </c>
      <c r="E47" s="29">
        <f>'Volume projections'!E54</f>
        <v>2021</v>
      </c>
      <c r="F47" s="29">
        <f>'Volume projections'!F54</f>
        <v>2022</v>
      </c>
      <c r="G47" s="29">
        <f>'Volume projections'!G54</f>
        <v>2023</v>
      </c>
      <c r="H47" s="29">
        <f>'Volume projections'!H54</f>
        <v>2024</v>
      </c>
      <c r="I47" s="29">
        <f>'Volume projections'!I54</f>
        <v>2025</v>
      </c>
      <c r="J47" s="29">
        <f>'Volume projections'!J54</f>
        <v>2026</v>
      </c>
      <c r="K47" s="29">
        <f>'Volume projections'!K54</f>
        <v>2027</v>
      </c>
      <c r="L47" s="29">
        <f>'Volume projections'!L54</f>
        <v>2028</v>
      </c>
      <c r="M47" s="29">
        <f>'Volume projections'!M54</f>
        <v>2029</v>
      </c>
      <c r="N47" s="29">
        <f>'Volume projections'!N54</f>
        <v>2030</v>
      </c>
      <c r="O47" s="29">
        <f>'Volume projections'!O54</f>
        <v>2031</v>
      </c>
      <c r="P47" s="29">
        <f>'Volume projections'!P54</f>
        <v>2032</v>
      </c>
      <c r="Q47" s="29">
        <f>'Volume projections'!Q54</f>
        <v>2033</v>
      </c>
      <c r="R47" s="29">
        <f>'Volume projections'!R54</f>
        <v>2034</v>
      </c>
      <c r="S47" s="29">
        <f>'Volume projections'!S54</f>
        <v>2035</v>
      </c>
      <c r="T47" s="29">
        <f>'Volume projections'!T54</f>
        <v>2036</v>
      </c>
      <c r="U47" s="29">
        <f>'Volume projections'!U54</f>
        <v>2037</v>
      </c>
    </row>
    <row r="48" spans="1:21" x14ac:dyDescent="0.35">
      <c r="A48" s="17" t="str">
        <f>'Volume projections'!A55</f>
        <v>Low growth scenario</v>
      </c>
      <c r="B48" s="26">
        <f>'Volume projections'!B55</f>
        <v>356416000</v>
      </c>
      <c r="C48" s="26">
        <f>'Volume projections'!C55</f>
        <v>79815800</v>
      </c>
      <c r="D48" s="26">
        <f>'Volume projections'!D55</f>
        <v>81615500</v>
      </c>
      <c r="E48" s="26">
        <f>'Volume projections'!E55</f>
        <v>64933600</v>
      </c>
      <c r="F48" s="26">
        <f>'Volume projections'!F55</f>
        <v>64608932</v>
      </c>
      <c r="G48" s="26">
        <f>'Volume projections'!G55</f>
        <v>64285887.339999996</v>
      </c>
      <c r="H48" s="26">
        <f>'Volume projections'!H55</f>
        <v>63964457.903299995</v>
      </c>
      <c r="I48" s="26">
        <f>'Volume projections'!I55</f>
        <v>63644635.613783494</v>
      </c>
      <c r="J48" s="26">
        <f>'Volume projections'!J55</f>
        <v>63326412.435714573</v>
      </c>
      <c r="K48" s="26">
        <f>'Volume projections'!K55</f>
        <v>63009780.373535998</v>
      </c>
      <c r="L48" s="26">
        <f>'Volume projections'!L55</f>
        <v>62694731.471668318</v>
      </c>
      <c r="M48" s="26">
        <f>'Volume projections'!M55</f>
        <v>62381257.814309977</v>
      </c>
      <c r="N48" s="26">
        <f>'Volume projections'!N55</f>
        <v>62069351.525238425</v>
      </c>
      <c r="O48" s="26">
        <f>'Volume projections'!O55</f>
        <v>61759004.767612234</v>
      </c>
      <c r="P48" s="26">
        <f>'Volume projections'!P55</f>
        <v>61450209.743774176</v>
      </c>
      <c r="Q48" s="26">
        <f>'Volume projections'!Q55</f>
        <v>61142958.695055306</v>
      </c>
      <c r="R48" s="26">
        <f>'Volume projections'!R55</f>
        <v>60837243.901580028</v>
      </c>
      <c r="S48" s="26">
        <f>'Volume projections'!S55</f>
        <v>60533057.682072125</v>
      </c>
      <c r="T48" s="26">
        <f>'Volume projections'!T55</f>
        <v>60230392.393661767</v>
      </c>
      <c r="U48" s="26">
        <f>'Volume projections'!U55</f>
        <v>59929240.431693457</v>
      </c>
    </row>
    <row r="49" spans="1:21" x14ac:dyDescent="0.35">
      <c r="A49" s="17" t="str">
        <f>'Volume projections'!A56</f>
        <v>Medium growth scenario</v>
      </c>
      <c r="B49" s="26">
        <f>'Volume projections'!B56</f>
        <v>356416000</v>
      </c>
      <c r="C49" s="26">
        <f>'Volume projections'!C56</f>
        <v>79815800</v>
      </c>
      <c r="D49" s="26">
        <f>'Volume projections'!D56</f>
        <v>81615500</v>
      </c>
      <c r="E49" s="26">
        <f>'Volume projections'!E56</f>
        <v>64933600</v>
      </c>
      <c r="F49" s="26">
        <f>'Volume projections'!F56</f>
        <v>64933600</v>
      </c>
      <c r="G49" s="26">
        <f>'Volume projections'!G56</f>
        <v>64933600</v>
      </c>
      <c r="H49" s="26">
        <f>'Volume projections'!H56</f>
        <v>64933600</v>
      </c>
      <c r="I49" s="26">
        <f>'Volume projections'!I56</f>
        <v>64933600</v>
      </c>
      <c r="J49" s="26">
        <f>'Volume projections'!J56</f>
        <v>64933600</v>
      </c>
      <c r="K49" s="26">
        <f>'Volume projections'!K56</f>
        <v>64933600</v>
      </c>
      <c r="L49" s="26">
        <f>'Volume projections'!L56</f>
        <v>64933600</v>
      </c>
      <c r="M49" s="26">
        <f>'Volume projections'!M56</f>
        <v>64933600</v>
      </c>
      <c r="N49" s="26">
        <f>'Volume projections'!N56</f>
        <v>64933600</v>
      </c>
      <c r="O49" s="26">
        <f>'Volume projections'!O56</f>
        <v>64933600</v>
      </c>
      <c r="P49" s="26">
        <f>'Volume projections'!P56</f>
        <v>64933600</v>
      </c>
      <c r="Q49" s="26">
        <f>'Volume projections'!Q56</f>
        <v>64933600</v>
      </c>
      <c r="R49" s="26">
        <f>'Volume projections'!R56</f>
        <v>64933600</v>
      </c>
      <c r="S49" s="26">
        <f>'Volume projections'!S56</f>
        <v>64933600</v>
      </c>
      <c r="T49" s="26">
        <f>'Volume projections'!T56</f>
        <v>64933600</v>
      </c>
      <c r="U49" s="26">
        <f>'Volume projections'!U56</f>
        <v>64933600</v>
      </c>
    </row>
    <row r="50" spans="1:21" x14ac:dyDescent="0.35">
      <c r="A50" s="17" t="str">
        <f>'Volume projections'!A57</f>
        <v>High growth scenario</v>
      </c>
      <c r="B50" s="26">
        <f>'Volume projections'!B57</f>
        <v>356416000</v>
      </c>
      <c r="C50" s="26">
        <f>'Volume projections'!C57</f>
        <v>79815800</v>
      </c>
      <c r="D50" s="26">
        <f>'Volume projections'!D57</f>
        <v>81615500</v>
      </c>
      <c r="E50" s="26">
        <f>'Volume projections'!E57</f>
        <v>64933600</v>
      </c>
      <c r="F50" s="26">
        <f>'Volume projections'!F57</f>
        <v>65258267.999999993</v>
      </c>
      <c r="G50" s="26">
        <f>'Volume projections'!G57</f>
        <v>65584559.339999989</v>
      </c>
      <c r="H50" s="26">
        <f>'Volume projections'!H57</f>
        <v>65912482.136699982</v>
      </c>
      <c r="I50" s="26">
        <f>'Volume projections'!I57</f>
        <v>66242044.547383472</v>
      </c>
      <c r="J50" s="26">
        <f>'Volume projections'!J57</f>
        <v>66573254.770120382</v>
      </c>
      <c r="K50" s="26">
        <f>'Volume projections'!K57</f>
        <v>66906121.04397098</v>
      </c>
      <c r="L50" s="26">
        <f>'Volume projections'!L57</f>
        <v>67240651.649190828</v>
      </c>
      <c r="M50" s="26">
        <f>'Volume projections'!M57</f>
        <v>67576854.907436773</v>
      </c>
      <c r="N50" s="26">
        <f>'Volume projections'!N57</f>
        <v>67914739.181973949</v>
      </c>
      <c r="O50" s="26">
        <f>'Volume projections'!O57</f>
        <v>68254312.877883807</v>
      </c>
      <c r="P50" s="26">
        <f>'Volume projections'!P57</f>
        <v>68595584.442273214</v>
      </c>
      <c r="Q50" s="26">
        <f>'Volume projections'!Q57</f>
        <v>68938562.364484578</v>
      </c>
      <c r="R50" s="26">
        <f>'Volume projections'!R57</f>
        <v>69283255.176306993</v>
      </c>
      <c r="S50" s="26">
        <f>'Volume projections'!S57</f>
        <v>69629671.452188522</v>
      </c>
      <c r="T50" s="26">
        <f>'Volume projections'!T57</f>
        <v>69977819.809449464</v>
      </c>
      <c r="U50" s="26">
        <f>'Volume projections'!U57</f>
        <v>70327708.908496708</v>
      </c>
    </row>
  </sheetData>
  <phoneticPr fontId="1" type="noConversion"/>
  <conditionalFormatting sqref="B1:U6 I11:U11 B12:U13 B18:U20 B25:U27 B32:U34 B39:U40 B45:U46 B51:U1048576">
    <cfRule type="cellIs" dxfId="10" priority="1" operator="less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A58C0-C69C-4EE0-8FDF-4B844EDCE6AD}">
  <dimension ref="A1:AT169"/>
  <sheetViews>
    <sheetView topLeftCell="A32" zoomScaleNormal="100" workbookViewId="0">
      <pane xSplit="1" topLeftCell="B1" activePane="topRight" state="frozen"/>
      <selection activeCell="H13" sqref="H13"/>
      <selection pane="topRight" activeCell="D171" sqref="D171"/>
    </sheetView>
  </sheetViews>
  <sheetFormatPr defaultColWidth="8.54296875" defaultRowHeight="14.5" x14ac:dyDescent="0.35"/>
  <cols>
    <col min="1" max="1" width="59.36328125" style="12" customWidth="1"/>
    <col min="2" max="2" width="25.453125" style="12" customWidth="1"/>
    <col min="3" max="3" width="52.54296875" style="12" customWidth="1"/>
    <col min="4" max="23" width="19" style="12" customWidth="1"/>
    <col min="24" max="24" width="27.453125" style="12" bestFit="1" customWidth="1"/>
    <col min="25" max="25" width="26.453125" style="12" bestFit="1" customWidth="1"/>
    <col min="26" max="45" width="18.36328125" style="12" customWidth="1"/>
    <col min="46" max="46" width="16.54296875" style="12" customWidth="1"/>
    <col min="47" max="16384" width="8.54296875" style="12"/>
  </cols>
  <sheetData>
    <row r="1" spans="1:10" s="18" customFormat="1" ht="18.5" x14ac:dyDescent="0.45">
      <c r="A1" s="89" t="s">
        <v>435</v>
      </c>
      <c r="B1" s="93"/>
      <c r="C1" s="93"/>
      <c r="D1" s="92"/>
      <c r="E1" s="92"/>
      <c r="F1" s="92"/>
      <c r="G1" s="92"/>
      <c r="H1" s="92"/>
      <c r="I1" s="92"/>
      <c r="J1" s="92"/>
    </row>
    <row r="3" spans="1:10" x14ac:dyDescent="0.35">
      <c r="A3" s="12" t="s">
        <v>19</v>
      </c>
    </row>
    <row r="5" spans="1:10" x14ac:dyDescent="0.35">
      <c r="A5" s="84" t="s">
        <v>20</v>
      </c>
      <c r="B5" s="84" t="s">
        <v>21</v>
      </c>
      <c r="C5" s="84" t="s">
        <v>22</v>
      </c>
      <c r="D5" s="84" t="s">
        <v>23</v>
      </c>
      <c r="E5" s="84" t="s">
        <v>24</v>
      </c>
      <c r="F5" s="84"/>
    </row>
    <row r="6" spans="1:10" x14ac:dyDescent="0.35">
      <c r="A6" s="84"/>
      <c r="B6" s="84"/>
      <c r="C6" s="84"/>
      <c r="D6" s="84"/>
    </row>
    <row r="7" spans="1:10" x14ac:dyDescent="0.35">
      <c r="A7" s="84"/>
      <c r="B7" s="84"/>
      <c r="C7" s="84"/>
      <c r="D7" s="84"/>
    </row>
    <row r="8" spans="1:10" x14ac:dyDescent="0.35">
      <c r="A8" s="48" t="s">
        <v>25</v>
      </c>
      <c r="B8" s="49"/>
      <c r="C8" s="49"/>
      <c r="D8" s="49"/>
      <c r="E8" s="49"/>
      <c r="F8" s="86" t="s">
        <v>26</v>
      </c>
    </row>
    <row r="10" spans="1:10" x14ac:dyDescent="0.35">
      <c r="A10" s="130" t="s">
        <v>27</v>
      </c>
      <c r="B10" s="130" t="s">
        <v>28</v>
      </c>
      <c r="C10" s="130"/>
      <c r="D10" s="137">
        <v>60</v>
      </c>
      <c r="E10" s="15" t="s">
        <v>29</v>
      </c>
      <c r="F10" s="84" t="s">
        <v>30</v>
      </c>
    </row>
    <row r="11" spans="1:10" ht="29" x14ac:dyDescent="0.35">
      <c r="A11" s="130" t="s">
        <v>31</v>
      </c>
      <c r="B11" s="130" t="s">
        <v>32</v>
      </c>
      <c r="C11" s="130" t="s">
        <v>33</v>
      </c>
      <c r="D11" s="137">
        <v>60</v>
      </c>
      <c r="E11" s="15" t="s">
        <v>34</v>
      </c>
      <c r="F11" s="84" t="s">
        <v>30</v>
      </c>
    </row>
    <row r="12" spans="1:10" x14ac:dyDescent="0.35">
      <c r="A12" s="130" t="s">
        <v>35</v>
      </c>
      <c r="B12" s="130" t="s">
        <v>36</v>
      </c>
      <c r="C12" s="130"/>
      <c r="D12" s="137">
        <v>365</v>
      </c>
      <c r="E12" s="15"/>
      <c r="F12" s="84" t="s">
        <v>30</v>
      </c>
    </row>
    <row r="13" spans="1:10" x14ac:dyDescent="0.35">
      <c r="A13" s="130" t="s">
        <v>37</v>
      </c>
      <c r="B13" s="130" t="s">
        <v>38</v>
      </c>
      <c r="C13" s="130"/>
      <c r="D13" s="137">
        <v>52</v>
      </c>
      <c r="E13" s="15"/>
      <c r="F13" s="84"/>
    </row>
    <row r="14" spans="1:10" x14ac:dyDescent="0.35">
      <c r="A14" s="130" t="s">
        <v>39</v>
      </c>
      <c r="B14" s="130" t="s">
        <v>40</v>
      </c>
      <c r="C14" s="130"/>
      <c r="D14" s="137">
        <v>5</v>
      </c>
      <c r="E14" s="15"/>
      <c r="F14" s="84" t="s">
        <v>30</v>
      </c>
    </row>
    <row r="15" spans="1:10" x14ac:dyDescent="0.35">
      <c r="A15" s="130" t="s">
        <v>41</v>
      </c>
      <c r="B15" s="130" t="s">
        <v>40</v>
      </c>
      <c r="C15" s="130"/>
      <c r="D15" s="137">
        <v>7</v>
      </c>
      <c r="E15" s="15"/>
      <c r="F15" s="84" t="s">
        <v>30</v>
      </c>
    </row>
    <row r="16" spans="1:10" x14ac:dyDescent="0.35">
      <c r="A16" s="130"/>
      <c r="B16" s="130"/>
      <c r="C16" s="130"/>
      <c r="D16" s="136"/>
      <c r="E16" s="15"/>
    </row>
    <row r="17" spans="1:6" x14ac:dyDescent="0.35">
      <c r="A17" s="130" t="s">
        <v>42</v>
      </c>
      <c r="B17" s="130" t="s">
        <v>43</v>
      </c>
      <c r="C17" s="130"/>
      <c r="D17" s="137">
        <v>2</v>
      </c>
      <c r="E17" s="134" t="s">
        <v>44</v>
      </c>
      <c r="F17" s="84" t="s">
        <v>30</v>
      </c>
    </row>
    <row r="18" spans="1:6" x14ac:dyDescent="0.35">
      <c r="A18" s="130"/>
      <c r="B18" s="130"/>
      <c r="C18" s="130"/>
      <c r="D18" s="136"/>
      <c r="E18" s="134"/>
      <c r="F18" s="84"/>
    </row>
    <row r="19" spans="1:6" x14ac:dyDescent="0.35">
      <c r="A19" s="130"/>
      <c r="B19" s="130"/>
      <c r="C19" s="130"/>
      <c r="D19" s="136"/>
      <c r="E19" s="134"/>
      <c r="F19" s="84"/>
    </row>
    <row r="20" spans="1:6" x14ac:dyDescent="0.35">
      <c r="A20" s="146" t="s">
        <v>45</v>
      </c>
      <c r="B20" s="147"/>
      <c r="C20" s="147"/>
      <c r="D20" s="148"/>
      <c r="E20" s="156"/>
      <c r="F20" s="85"/>
    </row>
    <row r="21" spans="1:6" x14ac:dyDescent="0.35">
      <c r="A21" s="130"/>
      <c r="B21" s="130"/>
      <c r="C21" s="130"/>
      <c r="D21" s="136"/>
      <c r="E21" s="134"/>
      <c r="F21" s="21" t="s">
        <v>46</v>
      </c>
    </row>
    <row r="22" spans="1:6" x14ac:dyDescent="0.35">
      <c r="A22" s="130" t="s">
        <v>47</v>
      </c>
      <c r="B22" s="130" t="s">
        <v>48</v>
      </c>
      <c r="C22" s="130"/>
      <c r="D22" s="160">
        <v>3.0800000000000001E-2</v>
      </c>
      <c r="E22" s="134" t="s">
        <v>49</v>
      </c>
      <c r="F22" s="84" t="s">
        <v>428</v>
      </c>
    </row>
    <row r="23" spans="1:6" x14ac:dyDescent="0.35">
      <c r="A23" s="130" t="s">
        <v>50</v>
      </c>
      <c r="B23" s="130"/>
      <c r="C23" s="130"/>
      <c r="D23" s="157">
        <v>4.17</v>
      </c>
      <c r="E23" s="15" t="s">
        <v>51</v>
      </c>
      <c r="F23" s="84" t="s">
        <v>428</v>
      </c>
    </row>
    <row r="24" spans="1:6" x14ac:dyDescent="0.35">
      <c r="A24" s="130" t="s">
        <v>52</v>
      </c>
      <c r="B24" s="130"/>
      <c r="C24" s="130"/>
      <c r="D24" s="175">
        <v>0.08</v>
      </c>
      <c r="E24" s="134" t="s">
        <v>53</v>
      </c>
      <c r="F24" s="84" t="s">
        <v>54</v>
      </c>
    </row>
    <row r="25" spans="1:6" x14ac:dyDescent="0.35">
      <c r="A25" s="176" t="s">
        <v>55</v>
      </c>
      <c r="B25" s="130"/>
      <c r="C25" s="130"/>
      <c r="D25" s="136"/>
      <c r="E25" s="134"/>
      <c r="F25" s="84"/>
    </row>
    <row r="26" spans="1:6" x14ac:dyDescent="0.35">
      <c r="A26" s="130"/>
      <c r="B26" s="130"/>
      <c r="C26" s="130"/>
      <c r="D26" s="136"/>
      <c r="E26" s="134"/>
      <c r="F26" s="84"/>
    </row>
    <row r="27" spans="1:6" x14ac:dyDescent="0.35">
      <c r="A27" s="146" t="s">
        <v>56</v>
      </c>
      <c r="B27" s="146"/>
      <c r="C27" s="146"/>
      <c r="D27" s="158"/>
      <c r="E27" s="159"/>
      <c r="F27" s="86"/>
    </row>
    <row r="28" spans="1:6" x14ac:dyDescent="0.35">
      <c r="A28" s="130"/>
      <c r="B28" s="130"/>
      <c r="C28" s="130"/>
      <c r="D28" s="136"/>
      <c r="E28" s="134"/>
    </row>
    <row r="29" spans="1:6" x14ac:dyDescent="0.35">
      <c r="A29" s="130" t="s">
        <v>57</v>
      </c>
      <c r="B29" s="130"/>
      <c r="C29" s="130"/>
      <c r="D29" s="227">
        <v>0.93</v>
      </c>
      <c r="E29" s="134"/>
      <c r="F29" s="84" t="s">
        <v>428</v>
      </c>
    </row>
    <row r="30" spans="1:6" x14ac:dyDescent="0.35">
      <c r="A30" s="130" t="s">
        <v>58</v>
      </c>
      <c r="B30" s="130"/>
      <c r="C30" s="130"/>
      <c r="D30" s="162">
        <f>D13*D14</f>
        <v>260</v>
      </c>
      <c r="E30" s="134"/>
    </row>
    <row r="31" spans="1:6" x14ac:dyDescent="0.35">
      <c r="A31" s="130"/>
      <c r="B31" s="130"/>
      <c r="C31" s="130"/>
      <c r="D31" s="136"/>
      <c r="E31" s="134"/>
    </row>
    <row r="32" spans="1:6" x14ac:dyDescent="0.35">
      <c r="A32" s="130" t="s">
        <v>59</v>
      </c>
      <c r="B32" s="130"/>
      <c r="C32" s="130"/>
      <c r="D32" s="228">
        <v>7.85E-2</v>
      </c>
      <c r="E32" s="134"/>
      <c r="F32" s="84" t="s">
        <v>428</v>
      </c>
    </row>
    <row r="33" spans="1:6" x14ac:dyDescent="0.35">
      <c r="A33" s="130"/>
      <c r="B33" s="130"/>
      <c r="C33" s="130"/>
      <c r="D33" s="161"/>
      <c r="E33" s="134"/>
    </row>
    <row r="34" spans="1:6" x14ac:dyDescent="0.35">
      <c r="A34" s="130" t="s">
        <v>60</v>
      </c>
      <c r="B34" s="130"/>
      <c r="C34" s="130"/>
      <c r="D34" s="236">
        <f>D29*D32/D30</f>
        <v>2.8078846153846155E-4</v>
      </c>
      <c r="E34" s="15" t="s">
        <v>61</v>
      </c>
      <c r="F34" s="84" t="s">
        <v>428</v>
      </c>
    </row>
    <row r="35" spans="1:6" x14ac:dyDescent="0.35">
      <c r="A35" s="130"/>
      <c r="B35" s="130"/>
      <c r="C35" s="130"/>
      <c r="D35" s="136"/>
      <c r="E35" s="134"/>
    </row>
    <row r="36" spans="1:6" x14ac:dyDescent="0.35">
      <c r="A36" s="130"/>
      <c r="B36" s="130"/>
      <c r="C36" s="130"/>
      <c r="D36" s="136"/>
    </row>
    <row r="37" spans="1:6" x14ac:dyDescent="0.35">
      <c r="A37" s="146" t="s">
        <v>62</v>
      </c>
      <c r="B37" s="146"/>
      <c r="C37" s="146"/>
      <c r="D37" s="158"/>
      <c r="E37" s="48"/>
      <c r="F37" s="48"/>
    </row>
    <row r="38" spans="1:6" x14ac:dyDescent="0.35">
      <c r="A38" s="130"/>
      <c r="B38" s="167" t="s">
        <v>63</v>
      </c>
      <c r="C38" s="130"/>
      <c r="D38" s="168" t="s">
        <v>21</v>
      </c>
      <c r="F38" s="21" t="s">
        <v>46</v>
      </c>
    </row>
    <row r="39" spans="1:6" x14ac:dyDescent="0.35">
      <c r="A39" s="130" t="str" cm="1">
        <f t="array" ref="A39:A54">core_elements</f>
        <v>Application server hardware</v>
      </c>
      <c r="B39" s="130" t="s">
        <v>64</v>
      </c>
      <c r="C39" s="130"/>
      <c r="D39" s="162">
        <v>87200</v>
      </c>
      <c r="E39" s="15" t="s">
        <v>65</v>
      </c>
      <c r="F39" s="84" t="s">
        <v>54</v>
      </c>
    </row>
    <row r="40" spans="1:6" x14ac:dyDescent="0.35">
      <c r="A40" s="130" t="str">
        <v>Application server software</v>
      </c>
      <c r="B40" s="130" t="s">
        <v>64</v>
      </c>
      <c r="C40" s="130"/>
      <c r="D40" s="162">
        <v>85000</v>
      </c>
      <c r="E40" s="15" t="s">
        <v>66</v>
      </c>
      <c r="F40" s="84" t="s">
        <v>54</v>
      </c>
    </row>
    <row r="41" spans="1:6" x14ac:dyDescent="0.35">
      <c r="A41" s="130" t="str">
        <v>Charging data function hardware</v>
      </c>
      <c r="B41" s="163" t="s">
        <v>67</v>
      </c>
      <c r="C41" s="130"/>
      <c r="D41" s="162">
        <v>10760000</v>
      </c>
      <c r="E41" s="15" t="s">
        <v>68</v>
      </c>
      <c r="F41" s="84" t="s">
        <v>428</v>
      </c>
    </row>
    <row r="42" spans="1:6" x14ac:dyDescent="0.35">
      <c r="A42" s="130" t="str">
        <v>Charging data function software</v>
      </c>
      <c r="B42" s="163" t="s">
        <v>67</v>
      </c>
      <c r="C42" s="130"/>
      <c r="D42" s="162">
        <v>10000</v>
      </c>
      <c r="E42" s="15" t="s">
        <v>69</v>
      </c>
      <c r="F42" s="84" t="s">
        <v>428</v>
      </c>
    </row>
    <row r="43" spans="1:6" x14ac:dyDescent="0.35">
      <c r="A43" s="130" t="str">
        <v>Proxy - Call session control function hardware</v>
      </c>
      <c r="B43" s="130" t="s">
        <v>70</v>
      </c>
      <c r="C43" s="130"/>
      <c r="D43" s="162">
        <v>20000000</v>
      </c>
      <c r="E43" s="15" t="s">
        <v>71</v>
      </c>
      <c r="F43" s="84" t="s">
        <v>54</v>
      </c>
    </row>
    <row r="44" spans="1:6" x14ac:dyDescent="0.35">
      <c r="A44" s="130" t="str">
        <v>Proxy - Call session control function software</v>
      </c>
      <c r="B44" s="130" t="s">
        <v>70</v>
      </c>
      <c r="C44" s="130"/>
      <c r="D44" s="162">
        <v>1000</v>
      </c>
      <c r="E44" s="15" t="s">
        <v>72</v>
      </c>
      <c r="F44" s="84" t="s">
        <v>54</v>
      </c>
    </row>
    <row r="45" spans="1:6" x14ac:dyDescent="0.35">
      <c r="A45" s="130" t="str">
        <v>Interrogating - Call session control function hardware</v>
      </c>
      <c r="B45" s="130" t="s">
        <v>70</v>
      </c>
      <c r="C45" s="130"/>
      <c r="D45" s="170">
        <v>20000000</v>
      </c>
      <c r="E45" s="15" t="s">
        <v>73</v>
      </c>
      <c r="F45" s="84" t="s">
        <v>54</v>
      </c>
    </row>
    <row r="46" spans="1:6" x14ac:dyDescent="0.35">
      <c r="A46" s="130" t="str">
        <v>Interrogating - Call session control function software</v>
      </c>
      <c r="B46" s="130" t="s">
        <v>70</v>
      </c>
      <c r="C46" s="130"/>
      <c r="D46" s="170">
        <v>1000</v>
      </c>
      <c r="E46" s="15" t="s">
        <v>74</v>
      </c>
      <c r="F46" s="84" t="s">
        <v>54</v>
      </c>
    </row>
    <row r="47" spans="1:6" x14ac:dyDescent="0.35">
      <c r="A47" s="130" t="str">
        <v>Serving - Call session control function hardware</v>
      </c>
      <c r="B47" s="130" t="s">
        <v>70</v>
      </c>
      <c r="C47" s="130"/>
      <c r="D47" s="170">
        <v>20000000</v>
      </c>
      <c r="E47" s="15" t="s">
        <v>75</v>
      </c>
      <c r="F47" s="84" t="s">
        <v>54</v>
      </c>
    </row>
    <row r="48" spans="1:6" x14ac:dyDescent="0.35">
      <c r="A48" s="130" t="str">
        <v>Serving - Call session control function software</v>
      </c>
      <c r="B48" s="130" t="s">
        <v>70</v>
      </c>
      <c r="C48" s="130"/>
      <c r="D48" s="170">
        <v>1000</v>
      </c>
      <c r="E48" s="15" t="s">
        <v>76</v>
      </c>
      <c r="F48" s="84" t="s">
        <v>54</v>
      </c>
    </row>
    <row r="49" spans="1:46" x14ac:dyDescent="0.35">
      <c r="A49" s="130" t="str">
        <v>Media resource function - hardware</v>
      </c>
      <c r="B49" s="163" t="s">
        <v>438</v>
      </c>
      <c r="C49" s="130"/>
      <c r="D49" s="170">
        <v>10800</v>
      </c>
      <c r="E49" s="15" t="s">
        <v>77</v>
      </c>
      <c r="F49" s="84" t="s">
        <v>54</v>
      </c>
    </row>
    <row r="50" spans="1:46" x14ac:dyDescent="0.35">
      <c r="A50" s="130" t="str">
        <v>Media resource function - software</v>
      </c>
      <c r="B50" s="163" t="s">
        <v>438</v>
      </c>
      <c r="C50" s="130"/>
      <c r="D50" s="170">
        <v>1</v>
      </c>
      <c r="E50" s="15" t="s">
        <v>78</v>
      </c>
      <c r="F50" s="84" t="s">
        <v>54</v>
      </c>
    </row>
    <row r="51" spans="1:46" x14ac:dyDescent="0.35">
      <c r="A51" s="130" t="str">
        <v>Access session border controller - hardware</v>
      </c>
      <c r="B51" s="163" t="s">
        <v>438</v>
      </c>
      <c r="C51" s="130"/>
      <c r="D51" s="170">
        <v>32000</v>
      </c>
      <c r="E51" s="15" t="s">
        <v>79</v>
      </c>
      <c r="F51" s="84" t="s">
        <v>54</v>
      </c>
    </row>
    <row r="52" spans="1:46" x14ac:dyDescent="0.35">
      <c r="A52" s="130" t="str">
        <v>Access session border controller - software</v>
      </c>
      <c r="B52" s="163" t="s">
        <v>438</v>
      </c>
      <c r="C52" s="130"/>
      <c r="D52" s="170">
        <v>16000</v>
      </c>
      <c r="E52" s="15" t="s">
        <v>80</v>
      </c>
      <c r="F52" s="84" t="s">
        <v>54</v>
      </c>
    </row>
    <row r="53" spans="1:46" x14ac:dyDescent="0.35">
      <c r="A53" s="130" t="str">
        <v>Internet exchange point session border controller - hardware</v>
      </c>
      <c r="B53" s="163" t="s">
        <v>438</v>
      </c>
      <c r="C53" s="130"/>
      <c r="D53" s="170">
        <v>32000</v>
      </c>
      <c r="E53" s="15" t="s">
        <v>81</v>
      </c>
      <c r="F53" s="84" t="s">
        <v>54</v>
      </c>
    </row>
    <row r="54" spans="1:46" x14ac:dyDescent="0.35">
      <c r="A54" s="130" t="str">
        <v>Internet exchange point session border controller - software</v>
      </c>
      <c r="B54" s="163" t="s">
        <v>438</v>
      </c>
      <c r="C54" s="130"/>
      <c r="D54" s="170">
        <v>16000</v>
      </c>
      <c r="E54" s="15" t="s">
        <v>82</v>
      </c>
      <c r="F54" s="84" t="s">
        <v>54</v>
      </c>
    </row>
    <row r="55" spans="1:46" x14ac:dyDescent="0.35">
      <c r="A55" s="83"/>
      <c r="B55" s="130"/>
    </row>
    <row r="56" spans="1:46" x14ac:dyDescent="0.35">
      <c r="A56" s="80" t="s">
        <v>83</v>
      </c>
    </row>
    <row r="57" spans="1:46" x14ac:dyDescent="0.35">
      <c r="A57" s="80" t="s">
        <v>84</v>
      </c>
    </row>
    <row r="58" spans="1:46" x14ac:dyDescent="0.35">
      <c r="A58" s="83"/>
    </row>
    <row r="59" spans="1:46" s="49" customFormat="1" x14ac:dyDescent="0.35">
      <c r="A59" s="48" t="s">
        <v>85</v>
      </c>
    </row>
    <row r="60" spans="1:46" x14ac:dyDescent="0.35">
      <c r="A60" s="2"/>
    </row>
    <row r="61" spans="1:46" x14ac:dyDescent="0.35">
      <c r="A61" s="12" t="s">
        <v>86</v>
      </c>
      <c r="D61" s="75"/>
      <c r="Z61" s="2"/>
      <c r="AA61"/>
      <c r="AB61"/>
      <c r="AC61"/>
      <c r="AD61"/>
      <c r="AE61"/>
      <c r="AF61"/>
      <c r="AG61"/>
      <c r="AH61"/>
      <c r="AI61"/>
      <c r="AJ61"/>
      <c r="AK61"/>
      <c r="AL61"/>
      <c r="AM61"/>
      <c r="AN61"/>
      <c r="AO61"/>
      <c r="AP61"/>
      <c r="AQ61"/>
      <c r="AR61"/>
      <c r="AS61"/>
      <c r="AT61"/>
    </row>
    <row r="62" spans="1:46" x14ac:dyDescent="0.35">
      <c r="Z62"/>
      <c r="AA62"/>
      <c r="AB62"/>
      <c r="AC62"/>
      <c r="AD62"/>
      <c r="AE62"/>
      <c r="AF62"/>
      <c r="AG62"/>
      <c r="AH62"/>
      <c r="AI62"/>
      <c r="AJ62"/>
      <c r="AK62"/>
      <c r="AL62"/>
      <c r="AM62"/>
      <c r="AN62"/>
      <c r="AO62"/>
      <c r="AP62"/>
      <c r="AQ62"/>
      <c r="AR62"/>
      <c r="AS62"/>
      <c r="AT62"/>
    </row>
    <row r="63" spans="1:46" x14ac:dyDescent="0.35">
      <c r="B63" s="84"/>
      <c r="D63" s="52" cm="1">
        <f t="array" ref="D63:W63">years</f>
        <v>2018</v>
      </c>
      <c r="E63" s="52">
        <v>2019</v>
      </c>
      <c r="F63" s="52">
        <v>2020</v>
      </c>
      <c r="G63" s="52">
        <v>2021</v>
      </c>
      <c r="H63" s="52">
        <v>2022</v>
      </c>
      <c r="I63" s="52">
        <v>2023</v>
      </c>
      <c r="J63" s="52">
        <v>2024</v>
      </c>
      <c r="K63" s="52">
        <v>2025</v>
      </c>
      <c r="L63" s="52">
        <v>2026</v>
      </c>
      <c r="M63" s="52">
        <v>2027</v>
      </c>
      <c r="N63" s="52">
        <v>2028</v>
      </c>
      <c r="O63" s="52">
        <v>2029</v>
      </c>
      <c r="P63" s="52">
        <v>2030</v>
      </c>
      <c r="Q63" s="52">
        <v>2031</v>
      </c>
      <c r="R63" s="52">
        <v>2032</v>
      </c>
      <c r="S63" s="52">
        <v>2033</v>
      </c>
      <c r="T63" s="52">
        <v>2034</v>
      </c>
      <c r="U63" s="52">
        <v>2035</v>
      </c>
      <c r="V63" s="52">
        <v>2036</v>
      </c>
      <c r="W63" s="52">
        <v>2037</v>
      </c>
      <c r="Z63" s="234"/>
      <c r="AA63" s="234"/>
      <c r="AB63" s="234"/>
      <c r="AC63" s="234"/>
      <c r="AD63" s="234"/>
      <c r="AE63" s="234"/>
      <c r="AF63" s="234"/>
      <c r="AG63" s="234"/>
      <c r="AH63" s="234"/>
      <c r="AI63" s="234"/>
      <c r="AJ63" s="234"/>
      <c r="AK63" s="234"/>
      <c r="AL63" s="234"/>
      <c r="AM63" s="234"/>
      <c r="AN63" s="234"/>
      <c r="AO63" s="234"/>
      <c r="AP63" s="234"/>
      <c r="AQ63" s="234"/>
      <c r="AR63" s="234"/>
      <c r="AS63" s="234"/>
      <c r="AT63"/>
    </row>
    <row r="64" spans="1:46" x14ac:dyDescent="0.35">
      <c r="A64" s="12" t="str">
        <f>'1 Volumes'!A5</f>
        <v>On-net fixed to fixed traffic</v>
      </c>
      <c r="B64" s="84"/>
      <c r="D64" s="26">
        <f>INDEX('1 Volumes'!B8:B10, MATCH(Summary!$B$18,'1 Volumes'!$A8:$A10,0),1)*share_operator</f>
        <v>1821315000</v>
      </c>
      <c r="E64" s="26">
        <f>INDEX('1 Volumes'!C8:C10, MATCH(Summary!$B$18,'1 Volumes'!$A8:$A10,0),1)*share_operator</f>
        <v>1531977000</v>
      </c>
      <c r="F64" s="26">
        <f>INDEX('1 Volumes'!D8:D10, MATCH(Summary!$B$18,'1 Volumes'!$A8:$A10,0),1)*share_operator</f>
        <v>1331508000</v>
      </c>
      <c r="G64" s="26">
        <f>INDEX('1 Volumes'!E8:E10, MATCH(Summary!$B$18,'1 Volumes'!$A8:$A10,0),1)*share_operator</f>
        <v>1179114000</v>
      </c>
      <c r="H64" s="26">
        <f>INDEX('1 Volumes'!F8:F10, MATCH(Summary!$B$18,'1 Volumes'!$A8:$A10,0),1)*share_operator</f>
        <v>1179114000</v>
      </c>
      <c r="I64" s="26">
        <f>INDEX('1 Volumes'!G8:G10, MATCH(Summary!$B$18,'1 Volumes'!$A8:$A10,0),1)*share_operator</f>
        <v>1179114000</v>
      </c>
      <c r="J64" s="26">
        <f>INDEX('1 Volumes'!H8:H10, MATCH(Summary!$B$18,'1 Volumes'!$A8:$A10,0),1)*share_operator</f>
        <v>1179114000</v>
      </c>
      <c r="K64" s="26">
        <f>INDEX('1 Volumes'!I8:I10, MATCH(Summary!$B$18,'1 Volumes'!$A8:$A10,0),1)*share_operator</f>
        <v>1179114000</v>
      </c>
      <c r="L64" s="26">
        <f>INDEX('1 Volumes'!J8:J10, MATCH(Summary!$B$18,'1 Volumes'!$A8:$A10,0),1)*share_operator</f>
        <v>1179114000</v>
      </c>
      <c r="M64" s="26">
        <f>INDEX('1 Volumes'!K8:K10, MATCH(Summary!$B$18,'1 Volumes'!$A8:$A10,0),1)*share_operator</f>
        <v>1179114000</v>
      </c>
      <c r="N64" s="26">
        <f>INDEX('1 Volumes'!L8:L10, MATCH(Summary!$B$18,'1 Volumes'!$A8:$A10,0),1)*share_operator</f>
        <v>1179114000</v>
      </c>
      <c r="O64" s="26">
        <f>INDEX('1 Volumes'!M8:M10, MATCH(Summary!$B$18,'1 Volumes'!$A8:$A10,0),1)*share_operator</f>
        <v>1179114000</v>
      </c>
      <c r="P64" s="26">
        <f>INDEX('1 Volumes'!N8:N10, MATCH(Summary!$B$18,'1 Volumes'!$A8:$A10,0),1)*share_operator</f>
        <v>1179114000</v>
      </c>
      <c r="Q64" s="26">
        <f>INDEX('1 Volumes'!O8:O10, MATCH(Summary!$B$18,'1 Volumes'!$A8:$A10,0),1)*share_operator</f>
        <v>1179114000</v>
      </c>
      <c r="R64" s="26">
        <f>INDEX('1 Volumes'!P8:P10, MATCH(Summary!$B$18,'1 Volumes'!$A8:$A10,0),1)*share_operator</f>
        <v>1179114000</v>
      </c>
      <c r="S64" s="26">
        <f>INDEX('1 Volumes'!Q8:Q10, MATCH(Summary!$B$18,'1 Volumes'!$A8:$A10,0),1)*share_operator</f>
        <v>1179114000</v>
      </c>
      <c r="T64" s="26">
        <f>INDEX('1 Volumes'!R8:R10, MATCH(Summary!$B$18,'1 Volumes'!$A8:$A10,0),1)*share_operator</f>
        <v>1179114000</v>
      </c>
      <c r="U64" s="26">
        <f>INDEX('1 Volumes'!S8:S10, MATCH(Summary!$B$18,'1 Volumes'!$A8:$A10,0),1)*share_operator</f>
        <v>1179114000</v>
      </c>
      <c r="V64" s="26">
        <f>INDEX('1 Volumes'!T8:T10, MATCH(Summary!$B$18,'1 Volumes'!$A8:$A10,0),1)*share_operator</f>
        <v>1179114000</v>
      </c>
      <c r="W64" s="26">
        <f>INDEX('1 Volumes'!U8:U10, MATCH(Summary!$B$18,'1 Volumes'!$A8:$A10,0),1)*share_operator</f>
        <v>1179114000</v>
      </c>
      <c r="Z64"/>
      <c r="AA64"/>
      <c r="AB64"/>
      <c r="AC64"/>
      <c r="AD64"/>
      <c r="AE64"/>
      <c r="AF64"/>
      <c r="AG64"/>
      <c r="AH64"/>
      <c r="AI64"/>
      <c r="AJ64"/>
      <c r="AK64"/>
      <c r="AL64"/>
      <c r="AM64"/>
      <c r="AN64"/>
      <c r="AO64"/>
      <c r="AP64"/>
      <c r="AQ64"/>
      <c r="AR64"/>
      <c r="AS64"/>
      <c r="AT64"/>
    </row>
    <row r="65" spans="1:46" x14ac:dyDescent="0.35">
      <c r="A65" s="12" t="str">
        <f>'1 Volumes'!A12</f>
        <v>Incoming fixed to fixed traffic</v>
      </c>
      <c r="B65" s="84"/>
      <c r="D65" s="26">
        <f>INDEX('1 Volumes'!B15:B17, MATCH(Summary!$B$18,'1 Volumes'!$A15:$A17,0),1)*share_operator</f>
        <v>1214210000</v>
      </c>
      <c r="E65" s="26">
        <f>INDEX('1 Volumes'!C15:C17, MATCH(Summary!$B$18,'1 Volumes'!$A15:$A17,0),1)*share_operator</f>
        <v>1021318000</v>
      </c>
      <c r="F65" s="26">
        <f>INDEX('1 Volumes'!D15:D17, MATCH(Summary!$B$18,'1 Volumes'!$A15:$A17,0),1)*share_operator</f>
        <v>887672000</v>
      </c>
      <c r="G65" s="26">
        <f>INDEX('1 Volumes'!E15:E17, MATCH(Summary!$B$18,'1 Volumes'!$A15:$A17,0),1)*share_operator</f>
        <v>786076000</v>
      </c>
      <c r="H65" s="26">
        <f>INDEX('1 Volumes'!F15:F17, MATCH(Summary!$B$18,'1 Volumes'!$A15:$A17,0),1)*share_operator</f>
        <v>786076000</v>
      </c>
      <c r="I65" s="26">
        <f>INDEX('1 Volumes'!G15:G17, MATCH(Summary!$B$18,'1 Volumes'!$A15:$A17,0),1)*share_operator</f>
        <v>786076000</v>
      </c>
      <c r="J65" s="26">
        <f>INDEX('1 Volumes'!H15:H17, MATCH(Summary!$B$18,'1 Volumes'!$A15:$A17,0),1)*share_operator</f>
        <v>786076000</v>
      </c>
      <c r="K65" s="26">
        <f>INDEX('1 Volumes'!I15:I17, MATCH(Summary!$B$18,'1 Volumes'!$A15:$A17,0),1)*share_operator</f>
        <v>786076000</v>
      </c>
      <c r="L65" s="26">
        <f>INDEX('1 Volumes'!J15:J17, MATCH(Summary!$B$18,'1 Volumes'!$A15:$A17,0),1)*share_operator</f>
        <v>786076000</v>
      </c>
      <c r="M65" s="26">
        <f>INDEX('1 Volumes'!K15:K17, MATCH(Summary!$B$18,'1 Volumes'!$A15:$A17,0),1)*share_operator</f>
        <v>786076000</v>
      </c>
      <c r="N65" s="26">
        <f>INDEX('1 Volumes'!L15:L17, MATCH(Summary!$B$18,'1 Volumes'!$A15:$A17,0),1)*share_operator</f>
        <v>786076000</v>
      </c>
      <c r="O65" s="26">
        <f>INDEX('1 Volumes'!M15:M17, MATCH(Summary!$B$18,'1 Volumes'!$A15:$A17,0),1)*share_operator</f>
        <v>786076000</v>
      </c>
      <c r="P65" s="26">
        <f>INDEX('1 Volumes'!N15:N17, MATCH(Summary!$B$18,'1 Volumes'!$A15:$A17,0),1)*share_operator</f>
        <v>786076000</v>
      </c>
      <c r="Q65" s="26">
        <f>INDEX('1 Volumes'!O15:O17, MATCH(Summary!$B$18,'1 Volumes'!$A15:$A17,0),1)*share_operator</f>
        <v>786076000</v>
      </c>
      <c r="R65" s="26">
        <f>INDEX('1 Volumes'!P15:P17, MATCH(Summary!$B$18,'1 Volumes'!$A15:$A17,0),1)*share_operator</f>
        <v>786076000</v>
      </c>
      <c r="S65" s="26">
        <f>INDEX('1 Volumes'!Q15:Q17, MATCH(Summary!$B$18,'1 Volumes'!$A15:$A17,0),1)*share_operator</f>
        <v>786076000</v>
      </c>
      <c r="T65" s="26">
        <f>INDEX('1 Volumes'!R15:R17, MATCH(Summary!$B$18,'1 Volumes'!$A15:$A17,0),1)*share_operator</f>
        <v>786076000</v>
      </c>
      <c r="U65" s="26">
        <f>INDEX('1 Volumes'!S15:S17, MATCH(Summary!$B$18,'1 Volumes'!$A15:$A17,0),1)*share_operator</f>
        <v>786076000</v>
      </c>
      <c r="V65" s="26">
        <f>INDEX('1 Volumes'!T15:T17, MATCH(Summary!$B$18,'1 Volumes'!$A15:$A17,0),1)*share_operator</f>
        <v>786076000</v>
      </c>
      <c r="W65" s="26">
        <f>INDEX('1 Volumes'!U15:U17, MATCH(Summary!$B$18,'1 Volumes'!$A15:$A17,0),1)*share_operator</f>
        <v>786076000</v>
      </c>
      <c r="Z65"/>
      <c r="AA65"/>
      <c r="AB65"/>
      <c r="AC65"/>
      <c r="AD65"/>
      <c r="AE65"/>
      <c r="AF65"/>
      <c r="AG65"/>
      <c r="AH65"/>
      <c r="AI65"/>
      <c r="AJ65"/>
      <c r="AK65"/>
      <c r="AL65"/>
      <c r="AM65"/>
      <c r="AN65"/>
      <c r="AO65"/>
      <c r="AP65"/>
      <c r="AQ65"/>
      <c r="AR65"/>
      <c r="AS65"/>
      <c r="AT65"/>
    </row>
    <row r="66" spans="1:46" x14ac:dyDescent="0.35">
      <c r="A66" s="12" t="str">
        <f>'1 Volumes'!A19</f>
        <v>Off-net fixed to fixed traffic</v>
      </c>
      <c r="B66" s="84"/>
      <c r="D66" s="26">
        <f>INDEX('1 Volumes'!B22:B24, MATCH(Summary!$B$18,'1 Volumes'!$A22:$A24,0),1)*share_operator</f>
        <v>1214210000</v>
      </c>
      <c r="E66" s="26">
        <f>INDEX('1 Volumes'!C22:C24, MATCH(Summary!$B$18,'1 Volumes'!$A22:$A24,0),1)*share_operator</f>
        <v>1021318000</v>
      </c>
      <c r="F66" s="26">
        <f>INDEX('1 Volumes'!D22:D24, MATCH(Summary!$B$18,'1 Volumes'!$A22:$A24,0),1)*share_operator</f>
        <v>887672000</v>
      </c>
      <c r="G66" s="26">
        <f>INDEX('1 Volumes'!E22:E24, MATCH(Summary!$B$18,'1 Volumes'!$A22:$A24,0),1)*share_operator</f>
        <v>786076000</v>
      </c>
      <c r="H66" s="26">
        <f>INDEX('1 Volumes'!F22:F24, MATCH(Summary!$B$18,'1 Volumes'!$A22:$A24,0),1)*share_operator</f>
        <v>786076000</v>
      </c>
      <c r="I66" s="26">
        <f>INDEX('1 Volumes'!G22:G24, MATCH(Summary!$B$18,'1 Volumes'!$A22:$A24,0),1)*share_operator</f>
        <v>786076000</v>
      </c>
      <c r="J66" s="26">
        <f>INDEX('1 Volumes'!H22:H24, MATCH(Summary!$B$18,'1 Volumes'!$A22:$A24,0),1)*share_operator</f>
        <v>786076000</v>
      </c>
      <c r="K66" s="26">
        <f>INDEX('1 Volumes'!I22:I24, MATCH(Summary!$B$18,'1 Volumes'!$A22:$A24,0),1)*share_operator</f>
        <v>786076000</v>
      </c>
      <c r="L66" s="26">
        <f>INDEX('1 Volumes'!J22:J24, MATCH(Summary!$B$18,'1 Volumes'!$A22:$A24,0),1)*share_operator</f>
        <v>786076000</v>
      </c>
      <c r="M66" s="26">
        <f>INDEX('1 Volumes'!K22:K24, MATCH(Summary!$B$18,'1 Volumes'!$A22:$A24,0),1)*share_operator</f>
        <v>786076000</v>
      </c>
      <c r="N66" s="26">
        <f>INDEX('1 Volumes'!L22:L24, MATCH(Summary!$B$18,'1 Volumes'!$A22:$A24,0),1)*share_operator</f>
        <v>786076000</v>
      </c>
      <c r="O66" s="26">
        <f>INDEX('1 Volumes'!M22:M24, MATCH(Summary!$B$18,'1 Volumes'!$A22:$A24,0),1)*share_operator</f>
        <v>786076000</v>
      </c>
      <c r="P66" s="26">
        <f>INDEX('1 Volumes'!N22:N24, MATCH(Summary!$B$18,'1 Volumes'!$A22:$A24,0),1)*share_operator</f>
        <v>786076000</v>
      </c>
      <c r="Q66" s="26">
        <f>INDEX('1 Volumes'!O22:O24, MATCH(Summary!$B$18,'1 Volumes'!$A22:$A24,0),1)*share_operator</f>
        <v>786076000</v>
      </c>
      <c r="R66" s="26">
        <f>INDEX('1 Volumes'!P22:P24, MATCH(Summary!$B$18,'1 Volumes'!$A22:$A24,0),1)*share_operator</f>
        <v>786076000</v>
      </c>
      <c r="S66" s="26">
        <f>INDEX('1 Volumes'!Q22:Q24, MATCH(Summary!$B$18,'1 Volumes'!$A22:$A24,0),1)*share_operator</f>
        <v>786076000</v>
      </c>
      <c r="T66" s="26">
        <f>INDEX('1 Volumes'!R22:R24, MATCH(Summary!$B$18,'1 Volumes'!$A22:$A24,0),1)*share_operator</f>
        <v>786076000</v>
      </c>
      <c r="U66" s="26">
        <f>INDEX('1 Volumes'!S22:S24, MATCH(Summary!$B$18,'1 Volumes'!$A22:$A24,0),1)*share_operator</f>
        <v>786076000</v>
      </c>
      <c r="V66" s="26">
        <f>INDEX('1 Volumes'!T22:T24, MATCH(Summary!$B$18,'1 Volumes'!$A22:$A24,0),1)*share_operator</f>
        <v>786076000</v>
      </c>
      <c r="W66" s="26">
        <f>INDEX('1 Volumes'!U22:U24, MATCH(Summary!$B$18,'1 Volumes'!$A22:$A24,0),1)*share_operator</f>
        <v>786076000</v>
      </c>
      <c r="Z66"/>
      <c r="AA66"/>
      <c r="AB66"/>
      <c r="AC66"/>
      <c r="AD66"/>
      <c r="AE66"/>
      <c r="AF66"/>
      <c r="AG66"/>
      <c r="AH66"/>
      <c r="AI66"/>
      <c r="AJ66"/>
      <c r="AK66"/>
      <c r="AL66"/>
      <c r="AM66"/>
      <c r="AN66"/>
      <c r="AO66"/>
      <c r="AP66"/>
      <c r="AQ66"/>
      <c r="AR66"/>
      <c r="AS66"/>
      <c r="AT66"/>
    </row>
    <row r="67" spans="1:46" x14ac:dyDescent="0.35">
      <c r="A67" s="12" t="str">
        <f>'1 Volumes'!A26</f>
        <v>Fixed to Mobile Telephone traffic</v>
      </c>
      <c r="B67" s="84"/>
      <c r="D67" s="26">
        <f>INDEX('1 Volumes'!B29:B31, MATCH(Summary!$B$18,'1 Volumes'!$A29:$A31,0),1)*share_operator</f>
        <v>4072135000</v>
      </c>
      <c r="E67" s="26">
        <f>INDEX('1 Volumes'!C29:C31, MATCH(Summary!$B$18,'1 Volumes'!$A29:$A31,0),1)*share_operator</f>
        <v>2974160000</v>
      </c>
      <c r="F67" s="26">
        <f>INDEX('1 Volumes'!D29:D31, MATCH(Summary!$B$18,'1 Volumes'!$A29:$A31,0),1)*share_operator</f>
        <v>3212270000</v>
      </c>
      <c r="G67" s="26">
        <f>INDEX('1 Volumes'!E29:E31, MATCH(Summary!$B$18,'1 Volumes'!$A29:$A31,0),1)*share_operator</f>
        <v>3013050000</v>
      </c>
      <c r="H67" s="26">
        <f>INDEX('1 Volumes'!F29:F31, MATCH(Summary!$B$18,'1 Volumes'!$A29:$A31,0),1)*share_operator</f>
        <v>3013050000</v>
      </c>
      <c r="I67" s="26">
        <f>INDEX('1 Volumes'!G29:G31, MATCH(Summary!$B$18,'1 Volumes'!$A29:$A31,0),1)*share_operator</f>
        <v>3013050000</v>
      </c>
      <c r="J67" s="26">
        <f>INDEX('1 Volumes'!H29:H31, MATCH(Summary!$B$18,'1 Volumes'!$A29:$A31,0),1)*share_operator</f>
        <v>3013050000</v>
      </c>
      <c r="K67" s="26">
        <f>INDEX('1 Volumes'!I29:I31, MATCH(Summary!$B$18,'1 Volumes'!$A29:$A31,0),1)*share_operator</f>
        <v>3013050000</v>
      </c>
      <c r="L67" s="26">
        <f>INDEX('1 Volumes'!J29:J31, MATCH(Summary!$B$18,'1 Volumes'!$A29:$A31,0),1)*share_operator</f>
        <v>3013050000</v>
      </c>
      <c r="M67" s="26">
        <f>INDEX('1 Volumes'!K29:K31, MATCH(Summary!$B$18,'1 Volumes'!$A29:$A31,0),1)*share_operator</f>
        <v>3013050000</v>
      </c>
      <c r="N67" s="26">
        <f>INDEX('1 Volumes'!L29:L31, MATCH(Summary!$B$18,'1 Volumes'!$A29:$A31,0),1)*share_operator</f>
        <v>3013050000</v>
      </c>
      <c r="O67" s="26">
        <f>INDEX('1 Volumes'!M29:M31, MATCH(Summary!$B$18,'1 Volumes'!$A29:$A31,0),1)*share_operator</f>
        <v>3013050000</v>
      </c>
      <c r="P67" s="26">
        <f>INDEX('1 Volumes'!N29:N31, MATCH(Summary!$B$18,'1 Volumes'!$A29:$A31,0),1)*share_operator</f>
        <v>3013050000</v>
      </c>
      <c r="Q67" s="26">
        <f>INDEX('1 Volumes'!O29:O31, MATCH(Summary!$B$18,'1 Volumes'!$A29:$A31,0),1)*share_operator</f>
        <v>3013050000</v>
      </c>
      <c r="R67" s="26">
        <f>INDEX('1 Volumes'!P29:P31, MATCH(Summary!$B$18,'1 Volumes'!$A29:$A31,0),1)*share_operator</f>
        <v>3013050000</v>
      </c>
      <c r="S67" s="26">
        <f>INDEX('1 Volumes'!Q29:Q31, MATCH(Summary!$B$18,'1 Volumes'!$A29:$A31,0),1)*share_operator</f>
        <v>3013050000</v>
      </c>
      <c r="T67" s="26">
        <f>INDEX('1 Volumes'!R29:R31, MATCH(Summary!$B$18,'1 Volumes'!$A29:$A31,0),1)*share_operator</f>
        <v>3013050000</v>
      </c>
      <c r="U67" s="26">
        <f>INDEX('1 Volumes'!S29:S31, MATCH(Summary!$B$18,'1 Volumes'!$A29:$A31,0),1)*share_operator</f>
        <v>3013050000</v>
      </c>
      <c r="V67" s="26">
        <f>INDEX('1 Volumes'!T29:T31, MATCH(Summary!$B$18,'1 Volumes'!$A29:$A31,0),1)*share_operator</f>
        <v>3013050000</v>
      </c>
      <c r="W67" s="26">
        <f>INDEX('1 Volumes'!U29:U31, MATCH(Summary!$B$18,'1 Volumes'!$A29:$A31,0),1)*share_operator</f>
        <v>3013050000</v>
      </c>
      <c r="Z67"/>
      <c r="AA67"/>
      <c r="AB67"/>
      <c r="AC67"/>
      <c r="AD67"/>
      <c r="AE67"/>
      <c r="AF67"/>
      <c r="AG67"/>
      <c r="AH67"/>
      <c r="AI67"/>
      <c r="AJ67"/>
      <c r="AK67"/>
      <c r="AL67"/>
      <c r="AM67"/>
      <c r="AN67"/>
      <c r="AO67"/>
      <c r="AP67"/>
      <c r="AQ67"/>
      <c r="AR67"/>
      <c r="AS67"/>
      <c r="AT67"/>
    </row>
    <row r="68" spans="1:46" x14ac:dyDescent="0.35">
      <c r="A68" s="12" t="str">
        <f>'1 Volumes'!A33</f>
        <v>Outgoing mobile traffic to fixed networks</v>
      </c>
      <c r="B68" s="84"/>
      <c r="D68" s="26">
        <f>INDEX('1 Volumes'!B36:B38, MATCH(Summary!$B$18,'1 Volumes'!$A36:$A38,0),1)*share_operator</f>
        <v>1183320000</v>
      </c>
      <c r="E68" s="26">
        <f>INDEX('1 Volumes'!C36:C38, MATCH(Summary!$B$18,'1 Volumes'!$A36:$A38,0),1)*share_operator</f>
        <v>1231660000</v>
      </c>
      <c r="F68" s="26">
        <f>INDEX('1 Volumes'!D36:D38, MATCH(Summary!$B$18,'1 Volumes'!$A36:$A38,0),1)*share_operator</f>
        <v>1472785000</v>
      </c>
      <c r="G68" s="26">
        <f>INDEX('1 Volumes'!E36:E38, MATCH(Summary!$B$18,'1 Volumes'!$A36:$A38,0),1)*share_operator</f>
        <v>1372105000</v>
      </c>
      <c r="H68" s="26">
        <f>INDEX('1 Volumes'!F36:F38, MATCH(Summary!$B$18,'1 Volumes'!$A36:$A38,0),1)*share_operator</f>
        <v>1372105000</v>
      </c>
      <c r="I68" s="26">
        <f>INDEX('1 Volumes'!G36:G38, MATCH(Summary!$B$18,'1 Volumes'!$A36:$A38,0),1)*share_operator</f>
        <v>1372105000</v>
      </c>
      <c r="J68" s="26">
        <f>INDEX('1 Volumes'!H36:H38, MATCH(Summary!$B$18,'1 Volumes'!$A36:$A38,0),1)*share_operator</f>
        <v>1372105000</v>
      </c>
      <c r="K68" s="26">
        <f>INDEX('1 Volumes'!I36:I38, MATCH(Summary!$B$18,'1 Volumes'!$A36:$A38,0),1)*share_operator</f>
        <v>1372105000</v>
      </c>
      <c r="L68" s="26">
        <f>INDEX('1 Volumes'!J36:J38, MATCH(Summary!$B$18,'1 Volumes'!$A36:$A38,0),1)*share_operator</f>
        <v>1372105000</v>
      </c>
      <c r="M68" s="26">
        <f>INDEX('1 Volumes'!K36:K38, MATCH(Summary!$B$18,'1 Volumes'!$A36:$A38,0),1)*share_operator</f>
        <v>1372105000</v>
      </c>
      <c r="N68" s="26">
        <f>INDEX('1 Volumes'!L36:L38, MATCH(Summary!$B$18,'1 Volumes'!$A36:$A38,0),1)*share_operator</f>
        <v>1372105000</v>
      </c>
      <c r="O68" s="26">
        <f>INDEX('1 Volumes'!M36:M38, MATCH(Summary!$B$18,'1 Volumes'!$A36:$A38,0),1)*share_operator</f>
        <v>1372105000</v>
      </c>
      <c r="P68" s="26">
        <f>INDEX('1 Volumes'!N36:N38, MATCH(Summary!$B$18,'1 Volumes'!$A36:$A38,0),1)*share_operator</f>
        <v>1372105000</v>
      </c>
      <c r="Q68" s="26">
        <f>INDEX('1 Volumes'!O36:O38, MATCH(Summary!$B$18,'1 Volumes'!$A36:$A38,0),1)*share_operator</f>
        <v>1372105000</v>
      </c>
      <c r="R68" s="26">
        <f>INDEX('1 Volumes'!P36:P38, MATCH(Summary!$B$18,'1 Volumes'!$A36:$A38,0),1)*share_operator</f>
        <v>1372105000</v>
      </c>
      <c r="S68" s="26">
        <f>INDEX('1 Volumes'!Q36:Q38, MATCH(Summary!$B$18,'1 Volumes'!$A36:$A38,0),1)*share_operator</f>
        <v>1372105000</v>
      </c>
      <c r="T68" s="26">
        <f>INDEX('1 Volumes'!R36:R38, MATCH(Summary!$B$18,'1 Volumes'!$A36:$A38,0),1)*share_operator</f>
        <v>1372105000</v>
      </c>
      <c r="U68" s="26">
        <f>INDEX('1 Volumes'!S36:S38, MATCH(Summary!$B$18,'1 Volumes'!$A36:$A38,0),1)*share_operator</f>
        <v>1372105000</v>
      </c>
      <c r="V68" s="26">
        <f>INDEX('1 Volumes'!T36:T38, MATCH(Summary!$B$18,'1 Volumes'!$A36:$A38,0),1)*share_operator</f>
        <v>1372105000</v>
      </c>
      <c r="W68" s="26">
        <f>INDEX('1 Volumes'!U36:U38, MATCH(Summary!$B$18,'1 Volumes'!$A36:$A38,0),1)*share_operator</f>
        <v>1372105000</v>
      </c>
    </row>
    <row r="69" spans="1:46" x14ac:dyDescent="0.35">
      <c r="A69" s="12" t="str">
        <f>'1 Volumes'!A40</f>
        <v xml:space="preserve">International incoming fixed telephone traffic </v>
      </c>
      <c r="B69" s="84"/>
      <c r="D69" s="26">
        <f>INDEX('1 Volumes'!B42:B44, MATCH(Summary!$B$18,'1 Volumes'!$A42:$A44,0),1)*share_operator</f>
        <v>180374500</v>
      </c>
      <c r="E69" s="26">
        <f>INDEX('1 Volumes'!C42:C44, MATCH(Summary!$B$18,'1 Volumes'!$A42:$A44,0),1)*share_operator</f>
        <v>79049000</v>
      </c>
      <c r="F69" s="26">
        <f>INDEX('1 Volumes'!D42:D44, MATCH(Summary!$B$18,'1 Volumes'!$A42:$A44,0),1)*share_operator</f>
        <v>51587500</v>
      </c>
      <c r="G69" s="26">
        <f>INDEX('1 Volumes'!E42:E44, MATCH(Summary!$B$18,'1 Volumes'!$A42:$A44,0),1)*share_operator</f>
        <v>22564300</v>
      </c>
      <c r="H69" s="26">
        <f>INDEX('1 Volumes'!F42:F44, MATCH(Summary!$B$18,'1 Volumes'!$A42:$A44,0),1)*share_operator</f>
        <v>22564300</v>
      </c>
      <c r="I69" s="26">
        <f>INDEX('1 Volumes'!G42:G44, MATCH(Summary!$B$18,'1 Volumes'!$A42:$A44,0),1)*share_operator</f>
        <v>22564300</v>
      </c>
      <c r="J69" s="26">
        <f>INDEX('1 Volumes'!H42:H44, MATCH(Summary!$B$18,'1 Volumes'!$A42:$A44,0),1)*share_operator</f>
        <v>22564300</v>
      </c>
      <c r="K69" s="26">
        <f>INDEX('1 Volumes'!I42:I44, MATCH(Summary!$B$18,'1 Volumes'!$A42:$A44,0),1)*share_operator</f>
        <v>22564300</v>
      </c>
      <c r="L69" s="26">
        <f>INDEX('1 Volumes'!J42:J44, MATCH(Summary!$B$18,'1 Volumes'!$A42:$A44,0),1)*share_operator</f>
        <v>22564300</v>
      </c>
      <c r="M69" s="26">
        <f>INDEX('1 Volumes'!K42:K44, MATCH(Summary!$B$18,'1 Volumes'!$A42:$A44,0),1)*share_operator</f>
        <v>22564300</v>
      </c>
      <c r="N69" s="26">
        <f>INDEX('1 Volumes'!L42:L44, MATCH(Summary!$B$18,'1 Volumes'!$A42:$A44,0),1)*share_operator</f>
        <v>22564300</v>
      </c>
      <c r="O69" s="26">
        <f>INDEX('1 Volumes'!M42:M44, MATCH(Summary!$B$18,'1 Volumes'!$A42:$A44,0),1)*share_operator</f>
        <v>22564300</v>
      </c>
      <c r="P69" s="26">
        <f>INDEX('1 Volumes'!N42:N44, MATCH(Summary!$B$18,'1 Volumes'!$A42:$A44,0),1)*share_operator</f>
        <v>22564300</v>
      </c>
      <c r="Q69" s="26">
        <f>INDEX('1 Volumes'!O42:O44, MATCH(Summary!$B$18,'1 Volumes'!$A42:$A44,0),1)*share_operator</f>
        <v>22564300</v>
      </c>
      <c r="R69" s="26">
        <f>INDEX('1 Volumes'!P42:P44, MATCH(Summary!$B$18,'1 Volumes'!$A42:$A44,0),1)*share_operator</f>
        <v>22564300</v>
      </c>
      <c r="S69" s="26">
        <f>INDEX('1 Volumes'!Q42:Q44, MATCH(Summary!$B$18,'1 Volumes'!$A42:$A44,0),1)*share_operator</f>
        <v>22564300</v>
      </c>
      <c r="T69" s="26">
        <f>INDEX('1 Volumes'!R42:R44, MATCH(Summary!$B$18,'1 Volumes'!$A42:$A44,0),1)*share_operator</f>
        <v>22564300</v>
      </c>
      <c r="U69" s="26">
        <f>INDEX('1 Volumes'!S42:S44, MATCH(Summary!$B$18,'1 Volumes'!$A42:$A44,0),1)*share_operator</f>
        <v>22564300</v>
      </c>
      <c r="V69" s="26">
        <f>INDEX('1 Volumes'!T42:T44, MATCH(Summary!$B$18,'1 Volumes'!$A42:$A44,0),1)*share_operator</f>
        <v>22564300</v>
      </c>
      <c r="W69" s="26">
        <f>INDEX('1 Volumes'!U42:U44, MATCH(Summary!$B$18,'1 Volumes'!$A42:$A44,0),1)*share_operator</f>
        <v>22564300</v>
      </c>
    </row>
    <row r="70" spans="1:46" x14ac:dyDescent="0.35">
      <c r="A70" s="12" t="str">
        <f>'1 Volumes'!A46</f>
        <v>International outgoing fixed telephone traffic</v>
      </c>
      <c r="B70" s="84"/>
      <c r="D70" s="26">
        <f>INDEX('1 Volumes'!B48:B50, MATCH(Summary!$B$18,'1 Volumes'!$A48:$A50,0),1)*share_operator</f>
        <v>178208000</v>
      </c>
      <c r="E70" s="26">
        <f>INDEX('1 Volumes'!C48:C50, MATCH(Summary!$B$18,'1 Volumes'!$A48:$A50,0),1)*share_operator</f>
        <v>39907900</v>
      </c>
      <c r="F70" s="26">
        <f>INDEX('1 Volumes'!D48:D50, MATCH(Summary!$B$18,'1 Volumes'!$A48:$A50,0),1)*share_operator</f>
        <v>40807750</v>
      </c>
      <c r="G70" s="26">
        <f>INDEX('1 Volumes'!E48:E50, MATCH(Summary!$B$18,'1 Volumes'!$A48:$A50,0),1)*share_operator</f>
        <v>32466800</v>
      </c>
      <c r="H70" s="26">
        <f>INDEX('1 Volumes'!F48:F50, MATCH(Summary!$B$18,'1 Volumes'!$A48:$A50,0),1)*share_operator</f>
        <v>32466800</v>
      </c>
      <c r="I70" s="26">
        <f>INDEX('1 Volumes'!G48:G50, MATCH(Summary!$B$18,'1 Volumes'!$A48:$A50,0),1)*share_operator</f>
        <v>32466800</v>
      </c>
      <c r="J70" s="26">
        <f>INDEX('1 Volumes'!H48:H50, MATCH(Summary!$B$18,'1 Volumes'!$A48:$A50,0),1)*share_operator</f>
        <v>32466800</v>
      </c>
      <c r="K70" s="26">
        <f>INDEX('1 Volumes'!I48:I50, MATCH(Summary!$B$18,'1 Volumes'!$A48:$A50,0),1)*share_operator</f>
        <v>32466800</v>
      </c>
      <c r="L70" s="26">
        <f>INDEX('1 Volumes'!J48:J50, MATCH(Summary!$B$18,'1 Volumes'!$A48:$A50,0),1)*share_operator</f>
        <v>32466800</v>
      </c>
      <c r="M70" s="26">
        <f>INDEX('1 Volumes'!K48:K50, MATCH(Summary!$B$18,'1 Volumes'!$A48:$A50,0),1)*share_operator</f>
        <v>32466800</v>
      </c>
      <c r="N70" s="26">
        <f>INDEX('1 Volumes'!L48:L50, MATCH(Summary!$B$18,'1 Volumes'!$A48:$A50,0),1)*share_operator</f>
        <v>32466800</v>
      </c>
      <c r="O70" s="26">
        <f>INDEX('1 Volumes'!M48:M50, MATCH(Summary!$B$18,'1 Volumes'!$A48:$A50,0),1)*share_operator</f>
        <v>32466800</v>
      </c>
      <c r="P70" s="26">
        <f>INDEX('1 Volumes'!N48:N50, MATCH(Summary!$B$18,'1 Volumes'!$A48:$A50,0),1)*share_operator</f>
        <v>32466800</v>
      </c>
      <c r="Q70" s="26">
        <f>INDEX('1 Volumes'!O48:O50, MATCH(Summary!$B$18,'1 Volumes'!$A48:$A50,0),1)*share_operator</f>
        <v>32466800</v>
      </c>
      <c r="R70" s="26">
        <f>INDEX('1 Volumes'!P48:P50, MATCH(Summary!$B$18,'1 Volumes'!$A48:$A50,0),1)*share_operator</f>
        <v>32466800</v>
      </c>
      <c r="S70" s="26">
        <f>INDEX('1 Volumes'!Q48:Q50, MATCH(Summary!$B$18,'1 Volumes'!$A48:$A50,0),1)*share_operator</f>
        <v>32466800</v>
      </c>
      <c r="T70" s="26">
        <f>INDEX('1 Volumes'!R48:R50, MATCH(Summary!$B$18,'1 Volumes'!$A48:$A50,0),1)*share_operator</f>
        <v>32466800</v>
      </c>
      <c r="U70" s="26">
        <f>INDEX('1 Volumes'!S48:S50, MATCH(Summary!$B$18,'1 Volumes'!$A48:$A50,0),1)*share_operator</f>
        <v>32466800</v>
      </c>
      <c r="V70" s="26">
        <f>INDEX('1 Volumes'!T48:T50, MATCH(Summary!$B$18,'1 Volumes'!$A48:$A50,0),1)*share_operator</f>
        <v>32466800</v>
      </c>
      <c r="W70" s="26">
        <f>INDEX('1 Volumes'!U48:U50, MATCH(Summary!$B$18,'1 Volumes'!$A48:$A50,0),1)*share_operator</f>
        <v>32466800</v>
      </c>
    </row>
    <row r="71" spans="1:46" x14ac:dyDescent="0.35">
      <c r="A71" s="15" t="s">
        <v>88</v>
      </c>
      <c r="B71" s="84"/>
      <c r="K71" s="81"/>
      <c r="L71" s="81"/>
      <c r="M71" s="81"/>
      <c r="N71" s="81"/>
      <c r="O71" s="81"/>
      <c r="X71" s="15" t="s">
        <v>89</v>
      </c>
    </row>
    <row r="73" spans="1:46" s="49" customFormat="1" x14ac:dyDescent="0.35">
      <c r="A73" s="48" t="s">
        <v>90</v>
      </c>
    </row>
    <row r="75" spans="1:46" customFormat="1" x14ac:dyDescent="0.35">
      <c r="A75" s="12" t="s">
        <v>91</v>
      </c>
      <c r="B75" s="12"/>
      <c r="C75" s="12"/>
      <c r="D75" s="12"/>
      <c r="E75" s="12"/>
      <c r="F75" s="12"/>
      <c r="G75" s="12"/>
      <c r="H75" s="12"/>
      <c r="I75" s="12"/>
      <c r="J75" s="12"/>
      <c r="K75" s="12"/>
      <c r="L75" s="12"/>
      <c r="M75" s="12"/>
      <c r="N75" s="12"/>
      <c r="O75" s="12"/>
      <c r="P75" s="12"/>
      <c r="Q75" s="12"/>
      <c r="R75" s="12"/>
      <c r="S75" s="12"/>
      <c r="T75" s="12"/>
      <c r="U75" s="12"/>
      <c r="V75" s="12"/>
      <c r="W75" s="12"/>
      <c r="X75" s="12"/>
      <c r="Y75" s="12"/>
      <c r="Z75" s="2"/>
    </row>
    <row r="76" spans="1:46" customFormat="1" x14ac:dyDescent="0.35">
      <c r="A76" s="84"/>
      <c r="B76" s="83"/>
      <c r="C76" s="12"/>
      <c r="D76" s="12"/>
      <c r="E76" s="12"/>
      <c r="F76" s="12"/>
      <c r="G76" s="12"/>
      <c r="H76" s="12"/>
      <c r="I76" s="12"/>
      <c r="J76" s="12"/>
      <c r="K76" s="12"/>
      <c r="L76" s="12"/>
      <c r="M76" s="12"/>
      <c r="N76" s="12"/>
      <c r="O76" s="12"/>
      <c r="P76" s="12"/>
      <c r="Q76" s="12"/>
      <c r="R76" s="12"/>
      <c r="S76" s="12"/>
      <c r="T76" s="12"/>
      <c r="U76" s="12"/>
      <c r="V76" s="12"/>
      <c r="W76" s="12"/>
      <c r="X76" s="12"/>
      <c r="Y76" s="12"/>
    </row>
    <row r="77" spans="1:46" s="1" customFormat="1" x14ac:dyDescent="0.35">
      <c r="A77" s="87"/>
      <c r="B77" s="83"/>
      <c r="C77" s="84"/>
      <c r="D77" s="52" cm="1">
        <f t="array" ref="D77:W77">years</f>
        <v>2018</v>
      </c>
      <c r="E77" s="52">
        <v>2019</v>
      </c>
      <c r="F77" s="52">
        <v>2020</v>
      </c>
      <c r="G77" s="52">
        <v>2021</v>
      </c>
      <c r="H77" s="52">
        <v>2022</v>
      </c>
      <c r="I77" s="52">
        <v>2023</v>
      </c>
      <c r="J77" s="52">
        <v>2024</v>
      </c>
      <c r="K77" s="52">
        <v>2025</v>
      </c>
      <c r="L77" s="52">
        <v>2026</v>
      </c>
      <c r="M77" s="52">
        <v>2027</v>
      </c>
      <c r="N77" s="52">
        <v>2028</v>
      </c>
      <c r="O77" s="52">
        <v>2029</v>
      </c>
      <c r="P77" s="52">
        <v>2030</v>
      </c>
      <c r="Q77" s="52">
        <v>2031</v>
      </c>
      <c r="R77" s="52">
        <v>2032</v>
      </c>
      <c r="S77" s="52">
        <v>2033</v>
      </c>
      <c r="T77" s="52">
        <v>2034</v>
      </c>
      <c r="U77" s="52">
        <v>2035</v>
      </c>
      <c r="V77" s="52">
        <v>2036</v>
      </c>
      <c r="W77" s="52">
        <v>2037</v>
      </c>
      <c r="X77" s="84"/>
      <c r="Y77" s="84"/>
      <c r="Z77" s="234"/>
      <c r="AA77" s="234"/>
      <c r="AB77" s="234"/>
      <c r="AC77" s="234"/>
      <c r="AD77" s="234"/>
      <c r="AE77" s="234"/>
      <c r="AF77" s="234"/>
      <c r="AG77" s="234"/>
      <c r="AH77" s="234"/>
      <c r="AI77" s="234"/>
      <c r="AJ77" s="234"/>
      <c r="AK77" s="234"/>
      <c r="AL77" s="234"/>
      <c r="AM77" s="234"/>
      <c r="AN77" s="234"/>
      <c r="AO77" s="234"/>
      <c r="AP77" s="234"/>
      <c r="AQ77" s="234"/>
      <c r="AR77" s="234"/>
      <c r="AS77" s="234"/>
    </row>
    <row r="78" spans="1:46" x14ac:dyDescent="0.35">
      <c r="A78" s="12" t="str" cm="1">
        <f t="array" ref="A78:A84">fixed_services</f>
        <v>On-net fixed to fixed traffic</v>
      </c>
      <c r="B78" s="18"/>
      <c r="D78" s="71" cm="1">
        <f t="array" ref="D78:W84">fixed_minutes*busy_hour_perc</f>
        <v>511404.23682692309</v>
      </c>
      <c r="E78" s="230">
        <v>430161.46494230774</v>
      </c>
      <c r="F78" s="230">
        <v>373872.08284615388</v>
      </c>
      <c r="G78" s="230">
        <v>331081.60603846156</v>
      </c>
      <c r="H78" s="230">
        <v>331081.60603846156</v>
      </c>
      <c r="I78" s="230">
        <v>331081.60603846156</v>
      </c>
      <c r="J78" s="230">
        <v>331081.60603846156</v>
      </c>
      <c r="K78" s="71">
        <v>331081.60603846156</v>
      </c>
      <c r="L78" s="71">
        <v>331081.60603846156</v>
      </c>
      <c r="M78" s="71">
        <v>331081.60603846156</v>
      </c>
      <c r="N78" s="71">
        <v>331081.60603846156</v>
      </c>
      <c r="O78" s="71">
        <v>331081.60603846156</v>
      </c>
      <c r="P78" s="71">
        <v>331081.60603846156</v>
      </c>
      <c r="Q78" s="71">
        <v>331081.60603846156</v>
      </c>
      <c r="R78" s="71">
        <v>331081.60603846156</v>
      </c>
      <c r="S78" s="71">
        <v>331081.60603846156</v>
      </c>
      <c r="T78" s="71">
        <v>331081.60603846156</v>
      </c>
      <c r="U78" s="71">
        <v>331081.60603846156</v>
      </c>
      <c r="V78" s="71">
        <v>331081.60603846156</v>
      </c>
      <c r="W78" s="71">
        <v>331081.60603846156</v>
      </c>
    </row>
    <row r="79" spans="1:46" x14ac:dyDescent="0.35">
      <c r="A79" s="12" t="str">
        <v>Incoming fixed to fixed traffic</v>
      </c>
      <c r="B79" s="18"/>
      <c r="D79" s="26">
        <v>340936.15788461542</v>
      </c>
      <c r="E79" s="231">
        <v>286774.30996153847</v>
      </c>
      <c r="F79" s="231">
        <v>249248.05523076924</v>
      </c>
      <c r="G79" s="231">
        <v>220721.07069230769</v>
      </c>
      <c r="H79" s="231">
        <v>220721.07069230769</v>
      </c>
      <c r="I79" s="231">
        <v>220721.07069230769</v>
      </c>
      <c r="J79" s="231">
        <v>220721.07069230769</v>
      </c>
      <c r="K79" s="26">
        <v>220721.07069230769</v>
      </c>
      <c r="L79" s="26">
        <v>220721.07069230769</v>
      </c>
      <c r="M79" s="26">
        <v>220721.07069230769</v>
      </c>
      <c r="N79" s="26">
        <v>220721.07069230769</v>
      </c>
      <c r="O79" s="26">
        <v>220721.07069230769</v>
      </c>
      <c r="P79" s="26">
        <v>220721.07069230769</v>
      </c>
      <c r="Q79" s="26">
        <v>220721.07069230769</v>
      </c>
      <c r="R79" s="26">
        <v>220721.07069230769</v>
      </c>
      <c r="S79" s="26">
        <v>220721.07069230769</v>
      </c>
      <c r="T79" s="26">
        <v>220721.07069230769</v>
      </c>
      <c r="U79" s="26">
        <v>220721.07069230769</v>
      </c>
      <c r="V79" s="26">
        <v>220721.07069230769</v>
      </c>
      <c r="W79" s="26">
        <v>220721.07069230769</v>
      </c>
    </row>
    <row r="80" spans="1:46" x14ac:dyDescent="0.35">
      <c r="A80" s="12" t="str">
        <v>Off-net fixed to fixed traffic</v>
      </c>
      <c r="B80" s="18"/>
      <c r="D80" s="138">
        <v>340936.15788461542</v>
      </c>
      <c r="E80" s="140">
        <v>286774.30996153847</v>
      </c>
      <c r="F80" s="140">
        <v>249248.05523076924</v>
      </c>
      <c r="G80" s="140">
        <v>220721.07069230769</v>
      </c>
      <c r="H80" s="140">
        <v>220721.07069230769</v>
      </c>
      <c r="I80" s="140">
        <v>220721.07069230769</v>
      </c>
      <c r="J80" s="140">
        <v>220721.07069230769</v>
      </c>
      <c r="K80" s="138">
        <v>220721.07069230769</v>
      </c>
      <c r="L80" s="138">
        <v>220721.07069230769</v>
      </c>
      <c r="M80" s="138">
        <v>220721.07069230769</v>
      </c>
      <c r="N80" s="138">
        <v>220721.07069230769</v>
      </c>
      <c r="O80" s="138">
        <v>220721.07069230769</v>
      </c>
      <c r="P80" s="138">
        <v>220721.07069230769</v>
      </c>
      <c r="Q80" s="138">
        <v>220721.07069230769</v>
      </c>
      <c r="R80" s="138">
        <v>220721.07069230769</v>
      </c>
      <c r="S80" s="138">
        <v>220721.07069230769</v>
      </c>
      <c r="T80" s="138">
        <v>220721.07069230769</v>
      </c>
      <c r="U80" s="138">
        <v>220721.07069230769</v>
      </c>
      <c r="V80" s="138">
        <v>220721.07069230769</v>
      </c>
      <c r="W80" s="138">
        <v>220721.07069230769</v>
      </c>
    </row>
    <row r="81" spans="1:24" x14ac:dyDescent="0.35">
      <c r="A81" s="12" t="str">
        <v>Fixed to Mobile Telephone traffic</v>
      </c>
      <c r="B81" s="18"/>
      <c r="D81" s="138">
        <v>1143408.5218269231</v>
      </c>
      <c r="E81" s="140">
        <v>835109.81076923083</v>
      </c>
      <c r="F81" s="140">
        <v>901968.35134615388</v>
      </c>
      <c r="G81" s="140">
        <v>846029.67403846153</v>
      </c>
      <c r="H81" s="140">
        <v>846029.67403846153</v>
      </c>
      <c r="I81" s="140">
        <v>846029.67403846153</v>
      </c>
      <c r="J81" s="140">
        <v>846029.67403846153</v>
      </c>
      <c r="K81" s="138">
        <v>846029.67403846153</v>
      </c>
      <c r="L81" s="138">
        <v>846029.67403846153</v>
      </c>
      <c r="M81" s="138">
        <v>846029.67403846153</v>
      </c>
      <c r="N81" s="138">
        <v>846029.67403846153</v>
      </c>
      <c r="O81" s="138">
        <v>846029.67403846153</v>
      </c>
      <c r="P81" s="138">
        <v>846029.67403846153</v>
      </c>
      <c r="Q81" s="138">
        <v>846029.67403846153</v>
      </c>
      <c r="R81" s="138">
        <v>846029.67403846153</v>
      </c>
      <c r="S81" s="138">
        <v>846029.67403846153</v>
      </c>
      <c r="T81" s="138">
        <v>846029.67403846153</v>
      </c>
      <c r="U81" s="138">
        <v>846029.67403846153</v>
      </c>
      <c r="V81" s="138">
        <v>846029.67403846153</v>
      </c>
      <c r="W81" s="138">
        <v>846029.67403846153</v>
      </c>
    </row>
    <row r="82" spans="1:24" x14ac:dyDescent="0.35">
      <c r="A82" s="12" t="str">
        <v>Outgoing mobile traffic to fixed networks</v>
      </c>
      <c r="B82" s="18"/>
      <c r="D82" s="138">
        <v>332262.60230769234</v>
      </c>
      <c r="E82" s="140">
        <v>345835.91653846158</v>
      </c>
      <c r="F82" s="140">
        <v>413541.03432692308</v>
      </c>
      <c r="G82" s="140">
        <v>385271.2520192308</v>
      </c>
      <c r="H82" s="140">
        <v>385271.2520192308</v>
      </c>
      <c r="I82" s="140">
        <v>385271.2520192308</v>
      </c>
      <c r="J82" s="140">
        <v>385271.2520192308</v>
      </c>
      <c r="K82" s="138">
        <v>385271.2520192308</v>
      </c>
      <c r="L82" s="138">
        <v>385271.2520192308</v>
      </c>
      <c r="M82" s="138">
        <v>385271.2520192308</v>
      </c>
      <c r="N82" s="138">
        <v>385271.2520192308</v>
      </c>
      <c r="O82" s="138">
        <v>385271.2520192308</v>
      </c>
      <c r="P82" s="138">
        <v>385271.2520192308</v>
      </c>
      <c r="Q82" s="138">
        <v>385271.2520192308</v>
      </c>
      <c r="R82" s="138">
        <v>385271.2520192308</v>
      </c>
      <c r="S82" s="138">
        <v>385271.2520192308</v>
      </c>
      <c r="T82" s="138">
        <v>385271.2520192308</v>
      </c>
      <c r="U82" s="138">
        <v>385271.2520192308</v>
      </c>
      <c r="V82" s="138">
        <v>385271.2520192308</v>
      </c>
      <c r="W82" s="138">
        <v>385271.2520192308</v>
      </c>
    </row>
    <row r="83" spans="1:24" x14ac:dyDescent="0.35">
      <c r="A83" s="12" t="str">
        <v xml:space="preserve">International incoming fixed telephone traffic </v>
      </c>
      <c r="B83" s="18"/>
      <c r="D83" s="138">
        <v>50647.078355769234</v>
      </c>
      <c r="E83" s="140">
        <v>22196.047096153849</v>
      </c>
      <c r="F83" s="140">
        <v>14485.174759615385</v>
      </c>
      <c r="G83" s="140">
        <v>6335.7950826923079</v>
      </c>
      <c r="H83" s="140">
        <v>6335.7950826923079</v>
      </c>
      <c r="I83" s="140">
        <v>6335.7950826923079</v>
      </c>
      <c r="J83" s="140">
        <v>6335.7950826923079</v>
      </c>
      <c r="K83" s="138">
        <v>6335.7950826923079</v>
      </c>
      <c r="L83" s="138">
        <v>6335.7950826923079</v>
      </c>
      <c r="M83" s="138">
        <v>6335.7950826923079</v>
      </c>
      <c r="N83" s="138">
        <v>6335.7950826923079</v>
      </c>
      <c r="O83" s="138">
        <v>6335.7950826923079</v>
      </c>
      <c r="P83" s="138">
        <v>6335.7950826923079</v>
      </c>
      <c r="Q83" s="138">
        <v>6335.7950826923079</v>
      </c>
      <c r="R83" s="138">
        <v>6335.7950826923079</v>
      </c>
      <c r="S83" s="138">
        <v>6335.7950826923079</v>
      </c>
      <c r="T83" s="138">
        <v>6335.7950826923079</v>
      </c>
      <c r="U83" s="138">
        <v>6335.7950826923079</v>
      </c>
      <c r="V83" s="138">
        <v>6335.7950826923079</v>
      </c>
      <c r="W83" s="138">
        <v>6335.7950826923079</v>
      </c>
    </row>
    <row r="84" spans="1:24" x14ac:dyDescent="0.35">
      <c r="A84" s="12" t="str">
        <v>International outgoing fixed telephone traffic</v>
      </c>
      <c r="B84" s="83"/>
      <c r="D84" s="26">
        <v>50038.750153846158</v>
      </c>
      <c r="E84" s="26">
        <v>11205.67784423077</v>
      </c>
      <c r="F84" s="26">
        <v>11458.345341346154</v>
      </c>
      <c r="G84" s="26">
        <v>9116.3028230769232</v>
      </c>
      <c r="H84" s="26">
        <v>9116.3028230769232</v>
      </c>
      <c r="I84" s="26">
        <v>9116.3028230769232</v>
      </c>
      <c r="J84" s="26">
        <v>9116.3028230769232</v>
      </c>
      <c r="K84" s="26">
        <v>9116.3028230769232</v>
      </c>
      <c r="L84" s="26">
        <v>9116.3028230769232</v>
      </c>
      <c r="M84" s="26">
        <v>9116.3028230769232</v>
      </c>
      <c r="N84" s="26">
        <v>9116.3028230769232</v>
      </c>
      <c r="O84" s="26">
        <v>9116.3028230769232</v>
      </c>
      <c r="P84" s="26">
        <v>9116.3028230769232</v>
      </c>
      <c r="Q84" s="26">
        <v>9116.3028230769232</v>
      </c>
      <c r="R84" s="26">
        <v>9116.3028230769232</v>
      </c>
      <c r="S84" s="26">
        <v>9116.3028230769232</v>
      </c>
      <c r="T84" s="26">
        <v>9116.3028230769232</v>
      </c>
      <c r="U84" s="26">
        <v>9116.3028230769232</v>
      </c>
      <c r="V84" s="26">
        <v>9116.3028230769232</v>
      </c>
      <c r="W84" s="26">
        <v>9116.3028230769232</v>
      </c>
    </row>
    <row r="85" spans="1:24" x14ac:dyDescent="0.35">
      <c r="A85" s="21"/>
      <c r="B85" s="83"/>
      <c r="X85" s="15" t="s">
        <v>92</v>
      </c>
    </row>
    <row r="86" spans="1:24" x14ac:dyDescent="0.35">
      <c r="A86" s="12" t="s">
        <v>93</v>
      </c>
      <c r="B86" s="83"/>
      <c r="X86" s="15"/>
    </row>
    <row r="87" spans="1:24" x14ac:dyDescent="0.35">
      <c r="A87" s="21"/>
      <c r="B87" s="83"/>
      <c r="X87" s="15"/>
    </row>
    <row r="88" spans="1:24" x14ac:dyDescent="0.35">
      <c r="A88" s="21"/>
      <c r="B88" s="83"/>
      <c r="D88" s="52" cm="1">
        <f t="array" ref="D88:W88">years</f>
        <v>2018</v>
      </c>
      <c r="E88" s="52">
        <v>2019</v>
      </c>
      <c r="F88" s="52">
        <v>2020</v>
      </c>
      <c r="G88" s="52">
        <v>2021</v>
      </c>
      <c r="H88" s="52">
        <v>2022</v>
      </c>
      <c r="I88" s="52">
        <v>2023</v>
      </c>
      <c r="J88" s="52">
        <v>2024</v>
      </c>
      <c r="K88" s="52">
        <v>2025</v>
      </c>
      <c r="L88" s="52">
        <v>2026</v>
      </c>
      <c r="M88" s="52">
        <v>2027</v>
      </c>
      <c r="N88" s="52">
        <v>2028</v>
      </c>
      <c r="O88" s="52">
        <v>2029</v>
      </c>
      <c r="P88" s="52">
        <v>2030</v>
      </c>
      <c r="Q88" s="52">
        <v>2031</v>
      </c>
      <c r="R88" s="52">
        <v>2032</v>
      </c>
      <c r="S88" s="52">
        <v>2033</v>
      </c>
      <c r="T88" s="52">
        <v>2034</v>
      </c>
      <c r="U88" s="52">
        <v>2035</v>
      </c>
      <c r="V88" s="52">
        <v>2036</v>
      </c>
      <c r="W88" s="52">
        <v>2037</v>
      </c>
      <c r="X88" s="15"/>
    </row>
    <row r="89" spans="1:24" x14ac:dyDescent="0.35">
      <c r="A89" s="12" t="str" cm="1">
        <f t="array" ref="A89:A95">fixed_services</f>
        <v>On-net fixed to fixed traffic</v>
      </c>
      <c r="B89" s="83"/>
      <c r="D89" s="26">
        <f t="shared" ref="D89:W89" si="0">D78*onnet_factor</f>
        <v>1022808.4736538462</v>
      </c>
      <c r="E89" s="26">
        <f t="shared" si="0"/>
        <v>860322.92988461547</v>
      </c>
      <c r="F89" s="26">
        <f t="shared" si="0"/>
        <v>747744.16569230775</v>
      </c>
      <c r="G89" s="26">
        <f t="shared" si="0"/>
        <v>662163.21207692311</v>
      </c>
      <c r="H89" s="26">
        <f t="shared" si="0"/>
        <v>662163.21207692311</v>
      </c>
      <c r="I89" s="26">
        <f t="shared" si="0"/>
        <v>662163.21207692311</v>
      </c>
      <c r="J89" s="26">
        <f t="shared" si="0"/>
        <v>662163.21207692311</v>
      </c>
      <c r="K89" s="26">
        <f t="shared" si="0"/>
        <v>662163.21207692311</v>
      </c>
      <c r="L89" s="26">
        <f t="shared" si="0"/>
        <v>662163.21207692311</v>
      </c>
      <c r="M89" s="26">
        <f t="shared" si="0"/>
        <v>662163.21207692311</v>
      </c>
      <c r="N89" s="26">
        <f t="shared" si="0"/>
        <v>662163.21207692311</v>
      </c>
      <c r="O89" s="26">
        <f t="shared" si="0"/>
        <v>662163.21207692311</v>
      </c>
      <c r="P89" s="26">
        <f t="shared" si="0"/>
        <v>662163.21207692311</v>
      </c>
      <c r="Q89" s="26">
        <f t="shared" si="0"/>
        <v>662163.21207692311</v>
      </c>
      <c r="R89" s="26">
        <f t="shared" si="0"/>
        <v>662163.21207692311</v>
      </c>
      <c r="S89" s="26">
        <f t="shared" si="0"/>
        <v>662163.21207692311</v>
      </c>
      <c r="T89" s="26">
        <f t="shared" si="0"/>
        <v>662163.21207692311</v>
      </c>
      <c r="U89" s="26">
        <f t="shared" si="0"/>
        <v>662163.21207692311</v>
      </c>
      <c r="V89" s="26">
        <f t="shared" si="0"/>
        <v>662163.21207692311</v>
      </c>
      <c r="W89" s="26">
        <f t="shared" si="0"/>
        <v>662163.21207692311</v>
      </c>
      <c r="X89" s="15"/>
    </row>
    <row r="90" spans="1:24" x14ac:dyDescent="0.35">
      <c r="A90" s="12" t="str">
        <v>Incoming fixed to fixed traffic</v>
      </c>
      <c r="B90" s="83"/>
      <c r="D90" s="26">
        <f t="shared" ref="D90:W90" si="1">D79</f>
        <v>340936.15788461542</v>
      </c>
      <c r="E90" s="26">
        <f t="shared" si="1"/>
        <v>286774.30996153847</v>
      </c>
      <c r="F90" s="26">
        <f t="shared" si="1"/>
        <v>249248.05523076924</v>
      </c>
      <c r="G90" s="26">
        <f t="shared" si="1"/>
        <v>220721.07069230769</v>
      </c>
      <c r="H90" s="26">
        <f t="shared" si="1"/>
        <v>220721.07069230769</v>
      </c>
      <c r="I90" s="26">
        <f t="shared" si="1"/>
        <v>220721.07069230769</v>
      </c>
      <c r="J90" s="26">
        <f t="shared" si="1"/>
        <v>220721.07069230769</v>
      </c>
      <c r="K90" s="26">
        <f t="shared" si="1"/>
        <v>220721.07069230769</v>
      </c>
      <c r="L90" s="26">
        <f t="shared" si="1"/>
        <v>220721.07069230769</v>
      </c>
      <c r="M90" s="26">
        <f t="shared" si="1"/>
        <v>220721.07069230769</v>
      </c>
      <c r="N90" s="26">
        <f t="shared" si="1"/>
        <v>220721.07069230769</v>
      </c>
      <c r="O90" s="26">
        <f t="shared" si="1"/>
        <v>220721.07069230769</v>
      </c>
      <c r="P90" s="26">
        <f t="shared" si="1"/>
        <v>220721.07069230769</v>
      </c>
      <c r="Q90" s="26">
        <f t="shared" si="1"/>
        <v>220721.07069230769</v>
      </c>
      <c r="R90" s="26">
        <f t="shared" si="1"/>
        <v>220721.07069230769</v>
      </c>
      <c r="S90" s="26">
        <f t="shared" si="1"/>
        <v>220721.07069230769</v>
      </c>
      <c r="T90" s="26">
        <f t="shared" si="1"/>
        <v>220721.07069230769</v>
      </c>
      <c r="U90" s="26">
        <f t="shared" si="1"/>
        <v>220721.07069230769</v>
      </c>
      <c r="V90" s="26">
        <f t="shared" si="1"/>
        <v>220721.07069230769</v>
      </c>
      <c r="W90" s="26">
        <f t="shared" si="1"/>
        <v>220721.07069230769</v>
      </c>
      <c r="X90" s="15"/>
    </row>
    <row r="91" spans="1:24" x14ac:dyDescent="0.35">
      <c r="A91" s="12" t="str">
        <v>Off-net fixed to fixed traffic</v>
      </c>
      <c r="B91" s="83"/>
      <c r="D91" s="26">
        <f t="shared" ref="D91:W91" si="2">D80</f>
        <v>340936.15788461542</v>
      </c>
      <c r="E91" s="26">
        <f t="shared" si="2"/>
        <v>286774.30996153847</v>
      </c>
      <c r="F91" s="26">
        <f t="shared" si="2"/>
        <v>249248.05523076924</v>
      </c>
      <c r="G91" s="26">
        <f t="shared" si="2"/>
        <v>220721.07069230769</v>
      </c>
      <c r="H91" s="26">
        <f t="shared" si="2"/>
        <v>220721.07069230769</v>
      </c>
      <c r="I91" s="26">
        <f t="shared" si="2"/>
        <v>220721.07069230769</v>
      </c>
      <c r="J91" s="26">
        <f t="shared" si="2"/>
        <v>220721.07069230769</v>
      </c>
      <c r="K91" s="26">
        <f t="shared" si="2"/>
        <v>220721.07069230769</v>
      </c>
      <c r="L91" s="26">
        <f t="shared" si="2"/>
        <v>220721.07069230769</v>
      </c>
      <c r="M91" s="26">
        <f t="shared" si="2"/>
        <v>220721.07069230769</v>
      </c>
      <c r="N91" s="26">
        <f t="shared" si="2"/>
        <v>220721.07069230769</v>
      </c>
      <c r="O91" s="26">
        <f t="shared" si="2"/>
        <v>220721.07069230769</v>
      </c>
      <c r="P91" s="26">
        <f t="shared" si="2"/>
        <v>220721.07069230769</v>
      </c>
      <c r="Q91" s="26">
        <f t="shared" si="2"/>
        <v>220721.07069230769</v>
      </c>
      <c r="R91" s="26">
        <f t="shared" si="2"/>
        <v>220721.07069230769</v>
      </c>
      <c r="S91" s="26">
        <f t="shared" si="2"/>
        <v>220721.07069230769</v>
      </c>
      <c r="T91" s="26">
        <f t="shared" si="2"/>
        <v>220721.07069230769</v>
      </c>
      <c r="U91" s="26">
        <f t="shared" si="2"/>
        <v>220721.07069230769</v>
      </c>
      <c r="V91" s="26">
        <f t="shared" si="2"/>
        <v>220721.07069230769</v>
      </c>
      <c r="W91" s="26">
        <f t="shared" si="2"/>
        <v>220721.07069230769</v>
      </c>
      <c r="X91" s="15"/>
    </row>
    <row r="92" spans="1:24" x14ac:dyDescent="0.35">
      <c r="A92" s="12" t="str">
        <v>Fixed to Mobile Telephone traffic</v>
      </c>
      <c r="B92" s="83"/>
      <c r="D92" s="26">
        <f t="shared" ref="D92:W92" si="3">D81</f>
        <v>1143408.5218269231</v>
      </c>
      <c r="E92" s="26">
        <f t="shared" si="3"/>
        <v>835109.81076923083</v>
      </c>
      <c r="F92" s="26">
        <f t="shared" si="3"/>
        <v>901968.35134615388</v>
      </c>
      <c r="G92" s="26">
        <f t="shared" si="3"/>
        <v>846029.67403846153</v>
      </c>
      <c r="H92" s="26">
        <f t="shared" si="3"/>
        <v>846029.67403846153</v>
      </c>
      <c r="I92" s="26">
        <f t="shared" si="3"/>
        <v>846029.67403846153</v>
      </c>
      <c r="J92" s="26">
        <f t="shared" si="3"/>
        <v>846029.67403846153</v>
      </c>
      <c r="K92" s="26">
        <f t="shared" si="3"/>
        <v>846029.67403846153</v>
      </c>
      <c r="L92" s="26">
        <f t="shared" si="3"/>
        <v>846029.67403846153</v>
      </c>
      <c r="M92" s="26">
        <f t="shared" si="3"/>
        <v>846029.67403846153</v>
      </c>
      <c r="N92" s="26">
        <f t="shared" si="3"/>
        <v>846029.67403846153</v>
      </c>
      <c r="O92" s="26">
        <f t="shared" si="3"/>
        <v>846029.67403846153</v>
      </c>
      <c r="P92" s="26">
        <f t="shared" si="3"/>
        <v>846029.67403846153</v>
      </c>
      <c r="Q92" s="26">
        <f t="shared" si="3"/>
        <v>846029.67403846153</v>
      </c>
      <c r="R92" s="26">
        <f t="shared" si="3"/>
        <v>846029.67403846153</v>
      </c>
      <c r="S92" s="26">
        <f t="shared" si="3"/>
        <v>846029.67403846153</v>
      </c>
      <c r="T92" s="26">
        <f t="shared" si="3"/>
        <v>846029.67403846153</v>
      </c>
      <c r="U92" s="26">
        <f t="shared" si="3"/>
        <v>846029.67403846153</v>
      </c>
      <c r="V92" s="26">
        <f t="shared" si="3"/>
        <v>846029.67403846153</v>
      </c>
      <c r="W92" s="26">
        <f t="shared" si="3"/>
        <v>846029.67403846153</v>
      </c>
      <c r="X92" s="15"/>
    </row>
    <row r="93" spans="1:24" x14ac:dyDescent="0.35">
      <c r="A93" s="12" t="str">
        <v>Outgoing mobile traffic to fixed networks</v>
      </c>
      <c r="B93" s="83"/>
      <c r="D93" s="26">
        <f t="shared" ref="D93:W93" si="4">D82</f>
        <v>332262.60230769234</v>
      </c>
      <c r="E93" s="26">
        <f t="shared" si="4"/>
        <v>345835.91653846158</v>
      </c>
      <c r="F93" s="26">
        <f t="shared" si="4"/>
        <v>413541.03432692308</v>
      </c>
      <c r="G93" s="26">
        <f t="shared" si="4"/>
        <v>385271.2520192308</v>
      </c>
      <c r="H93" s="26">
        <f t="shared" si="4"/>
        <v>385271.2520192308</v>
      </c>
      <c r="I93" s="26">
        <f t="shared" si="4"/>
        <v>385271.2520192308</v>
      </c>
      <c r="J93" s="26">
        <f t="shared" si="4"/>
        <v>385271.2520192308</v>
      </c>
      <c r="K93" s="26">
        <f t="shared" si="4"/>
        <v>385271.2520192308</v>
      </c>
      <c r="L93" s="26">
        <f t="shared" si="4"/>
        <v>385271.2520192308</v>
      </c>
      <c r="M93" s="26">
        <f t="shared" si="4"/>
        <v>385271.2520192308</v>
      </c>
      <c r="N93" s="26">
        <f t="shared" si="4"/>
        <v>385271.2520192308</v>
      </c>
      <c r="O93" s="26">
        <f t="shared" si="4"/>
        <v>385271.2520192308</v>
      </c>
      <c r="P93" s="26">
        <f t="shared" si="4"/>
        <v>385271.2520192308</v>
      </c>
      <c r="Q93" s="26">
        <f t="shared" si="4"/>
        <v>385271.2520192308</v>
      </c>
      <c r="R93" s="26">
        <f t="shared" si="4"/>
        <v>385271.2520192308</v>
      </c>
      <c r="S93" s="26">
        <f t="shared" si="4"/>
        <v>385271.2520192308</v>
      </c>
      <c r="T93" s="26">
        <f t="shared" si="4"/>
        <v>385271.2520192308</v>
      </c>
      <c r="U93" s="26">
        <f t="shared" si="4"/>
        <v>385271.2520192308</v>
      </c>
      <c r="V93" s="26">
        <f t="shared" si="4"/>
        <v>385271.2520192308</v>
      </c>
      <c r="W93" s="26">
        <f t="shared" si="4"/>
        <v>385271.2520192308</v>
      </c>
      <c r="X93" s="15"/>
    </row>
    <row r="94" spans="1:24" x14ac:dyDescent="0.35">
      <c r="A94" s="12" t="str">
        <v xml:space="preserve">International incoming fixed telephone traffic </v>
      </c>
      <c r="B94" s="83"/>
      <c r="D94" s="26">
        <f t="shared" ref="D94:W94" si="5">D83</f>
        <v>50647.078355769234</v>
      </c>
      <c r="E94" s="26">
        <f t="shared" si="5"/>
        <v>22196.047096153849</v>
      </c>
      <c r="F94" s="26">
        <f t="shared" si="5"/>
        <v>14485.174759615385</v>
      </c>
      <c r="G94" s="26">
        <f t="shared" si="5"/>
        <v>6335.7950826923079</v>
      </c>
      <c r="H94" s="26">
        <f t="shared" si="5"/>
        <v>6335.7950826923079</v>
      </c>
      <c r="I94" s="26">
        <f t="shared" si="5"/>
        <v>6335.7950826923079</v>
      </c>
      <c r="J94" s="26">
        <f t="shared" si="5"/>
        <v>6335.7950826923079</v>
      </c>
      <c r="K94" s="26">
        <f t="shared" si="5"/>
        <v>6335.7950826923079</v>
      </c>
      <c r="L94" s="26">
        <f t="shared" si="5"/>
        <v>6335.7950826923079</v>
      </c>
      <c r="M94" s="26">
        <f t="shared" si="5"/>
        <v>6335.7950826923079</v>
      </c>
      <c r="N94" s="26">
        <f t="shared" si="5"/>
        <v>6335.7950826923079</v>
      </c>
      <c r="O94" s="26">
        <f t="shared" si="5"/>
        <v>6335.7950826923079</v>
      </c>
      <c r="P94" s="26">
        <f t="shared" si="5"/>
        <v>6335.7950826923079</v>
      </c>
      <c r="Q94" s="26">
        <f t="shared" si="5"/>
        <v>6335.7950826923079</v>
      </c>
      <c r="R94" s="26">
        <f t="shared" si="5"/>
        <v>6335.7950826923079</v>
      </c>
      <c r="S94" s="26">
        <f t="shared" si="5"/>
        <v>6335.7950826923079</v>
      </c>
      <c r="T94" s="26">
        <f t="shared" si="5"/>
        <v>6335.7950826923079</v>
      </c>
      <c r="U94" s="26">
        <f t="shared" si="5"/>
        <v>6335.7950826923079</v>
      </c>
      <c r="V94" s="26">
        <f t="shared" si="5"/>
        <v>6335.7950826923079</v>
      </c>
      <c r="W94" s="26">
        <f t="shared" si="5"/>
        <v>6335.7950826923079</v>
      </c>
      <c r="X94" s="15"/>
    </row>
    <row r="95" spans="1:24" x14ac:dyDescent="0.35">
      <c r="A95" s="12" t="str">
        <v>International outgoing fixed telephone traffic</v>
      </c>
      <c r="B95" s="83"/>
      <c r="D95" s="26">
        <f t="shared" ref="D95:W95" si="6">D84</f>
        <v>50038.750153846158</v>
      </c>
      <c r="E95" s="26">
        <f t="shared" si="6"/>
        <v>11205.67784423077</v>
      </c>
      <c r="F95" s="26">
        <f t="shared" si="6"/>
        <v>11458.345341346154</v>
      </c>
      <c r="G95" s="26">
        <f t="shared" si="6"/>
        <v>9116.3028230769232</v>
      </c>
      <c r="H95" s="26">
        <f t="shared" si="6"/>
        <v>9116.3028230769232</v>
      </c>
      <c r="I95" s="26">
        <f t="shared" si="6"/>
        <v>9116.3028230769232</v>
      </c>
      <c r="J95" s="26">
        <f t="shared" si="6"/>
        <v>9116.3028230769232</v>
      </c>
      <c r="K95" s="26">
        <f t="shared" si="6"/>
        <v>9116.3028230769232</v>
      </c>
      <c r="L95" s="26">
        <f t="shared" si="6"/>
        <v>9116.3028230769232</v>
      </c>
      <c r="M95" s="26">
        <f t="shared" si="6"/>
        <v>9116.3028230769232</v>
      </c>
      <c r="N95" s="26">
        <f t="shared" si="6"/>
        <v>9116.3028230769232</v>
      </c>
      <c r="O95" s="26">
        <f t="shared" si="6"/>
        <v>9116.3028230769232</v>
      </c>
      <c r="P95" s="26">
        <f t="shared" si="6"/>
        <v>9116.3028230769232</v>
      </c>
      <c r="Q95" s="26">
        <f t="shared" si="6"/>
        <v>9116.3028230769232</v>
      </c>
      <c r="R95" s="26">
        <f t="shared" si="6"/>
        <v>9116.3028230769232</v>
      </c>
      <c r="S95" s="26">
        <f t="shared" si="6"/>
        <v>9116.3028230769232</v>
      </c>
      <c r="T95" s="26">
        <f t="shared" si="6"/>
        <v>9116.3028230769232</v>
      </c>
      <c r="U95" s="26">
        <f t="shared" si="6"/>
        <v>9116.3028230769232</v>
      </c>
      <c r="V95" s="26">
        <f t="shared" si="6"/>
        <v>9116.3028230769232</v>
      </c>
      <c r="W95" s="26">
        <f t="shared" si="6"/>
        <v>9116.3028230769232</v>
      </c>
    </row>
    <row r="96" spans="1:24" x14ac:dyDescent="0.35">
      <c r="A96" s="21"/>
      <c r="B96" s="83"/>
      <c r="X96" s="15" t="s">
        <v>94</v>
      </c>
    </row>
    <row r="97" spans="1:46" x14ac:dyDescent="0.35">
      <c r="B97" s="18"/>
    </row>
    <row r="98" spans="1:46" s="49" customFormat="1" x14ac:dyDescent="0.35">
      <c r="A98" s="48" t="s">
        <v>95</v>
      </c>
      <c r="B98" s="149"/>
    </row>
    <row r="99" spans="1:46" x14ac:dyDescent="0.35">
      <c r="B99" s="18"/>
    </row>
    <row r="100" spans="1:46" x14ac:dyDescent="0.35">
      <c r="A100" s="12" t="s">
        <v>96</v>
      </c>
      <c r="B100" s="18"/>
      <c r="D100" s="48" t="s">
        <v>97</v>
      </c>
      <c r="E100" s="49"/>
      <c r="F100" s="49"/>
      <c r="G100" s="49"/>
      <c r="H100" s="49"/>
      <c r="I100" s="49"/>
      <c r="J100" s="49"/>
      <c r="K100" s="49"/>
      <c r="L100" s="49"/>
      <c r="M100" s="49"/>
      <c r="N100" s="49"/>
      <c r="O100" s="49"/>
      <c r="P100" s="49"/>
      <c r="Q100" s="49"/>
      <c r="R100" s="49"/>
      <c r="S100" s="49"/>
      <c r="T100" s="49"/>
      <c r="U100" s="49"/>
      <c r="V100" s="49"/>
      <c r="W100" s="49"/>
      <c r="Z100" s="48" t="s">
        <v>87</v>
      </c>
      <c r="AA100" s="49"/>
      <c r="AB100" s="49"/>
      <c r="AC100" s="49"/>
      <c r="AD100" s="49"/>
      <c r="AE100" s="49"/>
      <c r="AF100" s="49"/>
      <c r="AG100" s="49"/>
      <c r="AH100" s="49"/>
      <c r="AI100" s="49"/>
      <c r="AJ100" s="49"/>
      <c r="AK100" s="49"/>
      <c r="AL100" s="49"/>
      <c r="AM100" s="49"/>
      <c r="AN100" s="49"/>
      <c r="AO100" s="49"/>
      <c r="AP100" s="49"/>
      <c r="AQ100" s="49"/>
      <c r="AR100" s="49"/>
      <c r="AS100" s="49"/>
    </row>
    <row r="101" spans="1:46" x14ac:dyDescent="0.35">
      <c r="A101" s="1"/>
      <c r="B101" s="18"/>
      <c r="C101"/>
      <c r="D101" s="52" cm="1">
        <f t="array" ref="D101:W101">years</f>
        <v>2018</v>
      </c>
      <c r="E101" s="52">
        <v>2019</v>
      </c>
      <c r="F101" s="52">
        <v>2020</v>
      </c>
      <c r="G101" s="52">
        <v>2021</v>
      </c>
      <c r="H101" s="52">
        <v>2022</v>
      </c>
      <c r="I101" s="52">
        <v>2023</v>
      </c>
      <c r="J101" s="52">
        <v>2024</v>
      </c>
      <c r="K101" s="52">
        <v>2025</v>
      </c>
      <c r="L101" s="52">
        <v>2026</v>
      </c>
      <c r="M101" s="52">
        <v>2027</v>
      </c>
      <c r="N101" s="52">
        <v>2028</v>
      </c>
      <c r="O101" s="52">
        <v>2029</v>
      </c>
      <c r="P101" s="52">
        <v>2030</v>
      </c>
      <c r="Q101" s="52">
        <v>2031</v>
      </c>
      <c r="R101" s="52">
        <v>2032</v>
      </c>
      <c r="S101" s="52">
        <v>2033</v>
      </c>
      <c r="T101" s="52">
        <v>2034</v>
      </c>
      <c r="U101" s="52">
        <v>2035</v>
      </c>
      <c r="V101" s="52">
        <v>2036</v>
      </c>
      <c r="W101" s="52">
        <v>2037</v>
      </c>
      <c r="Z101" s="52" cm="1">
        <f t="array" ref="Z101:AS101">years</f>
        <v>2018</v>
      </c>
      <c r="AA101" s="52">
        <v>2019</v>
      </c>
      <c r="AB101" s="52">
        <v>2020</v>
      </c>
      <c r="AC101" s="52">
        <v>2021</v>
      </c>
      <c r="AD101" s="52">
        <v>2022</v>
      </c>
      <c r="AE101" s="52">
        <v>2023</v>
      </c>
      <c r="AF101" s="52">
        <v>2024</v>
      </c>
      <c r="AG101" s="52">
        <v>2025</v>
      </c>
      <c r="AH101" s="52">
        <v>2026</v>
      </c>
      <c r="AI101" s="52">
        <v>2027</v>
      </c>
      <c r="AJ101" s="52">
        <v>2028</v>
      </c>
      <c r="AK101" s="52">
        <v>2029</v>
      </c>
      <c r="AL101" s="52">
        <v>2030</v>
      </c>
      <c r="AM101" s="52">
        <v>2031</v>
      </c>
      <c r="AN101" s="52">
        <v>2032</v>
      </c>
      <c r="AO101" s="52">
        <v>2033</v>
      </c>
      <c r="AP101" s="52">
        <v>2034</v>
      </c>
      <c r="AQ101" s="52">
        <v>2035</v>
      </c>
      <c r="AR101" s="52">
        <v>2036</v>
      </c>
      <c r="AS101" s="52">
        <v>2037</v>
      </c>
    </row>
    <row r="102" spans="1:46" x14ac:dyDescent="0.35">
      <c r="A102" s="12" t="str" cm="1">
        <f t="array" ref="A102:A108">fixed_services</f>
        <v>On-net fixed to fixed traffic</v>
      </c>
      <c r="B102" s="18"/>
      <c r="D102" s="141" cm="1">
        <f t="array" ref="D102:W108">(fixed_minutes_busy_hour/mins_call)</f>
        <v>122638.90571389043</v>
      </c>
      <c r="E102" s="141">
        <v>103156.22660486997</v>
      </c>
      <c r="F102" s="141">
        <v>89657.573824017716</v>
      </c>
      <c r="G102" s="141">
        <v>79396.068594355296</v>
      </c>
      <c r="H102" s="141">
        <v>79396.068594355296</v>
      </c>
      <c r="I102" s="141">
        <v>79396.068594355296</v>
      </c>
      <c r="J102" s="141">
        <v>79396.068594355296</v>
      </c>
      <c r="K102" s="141">
        <v>79396.068594355296</v>
      </c>
      <c r="L102" s="141">
        <v>79396.068594355296</v>
      </c>
      <c r="M102" s="141">
        <v>79396.068594355296</v>
      </c>
      <c r="N102" s="141">
        <v>79396.068594355296</v>
      </c>
      <c r="O102" s="141">
        <v>79396.068594355296</v>
      </c>
      <c r="P102" s="141">
        <v>79396.068594355296</v>
      </c>
      <c r="Q102" s="141">
        <v>79396.068594355296</v>
      </c>
      <c r="R102" s="141">
        <v>79396.068594355296</v>
      </c>
      <c r="S102" s="141">
        <v>79396.068594355296</v>
      </c>
      <c r="T102" s="141">
        <v>79396.068594355296</v>
      </c>
      <c r="U102" s="141">
        <v>79396.068594355296</v>
      </c>
      <c r="V102" s="141">
        <v>79396.068594355296</v>
      </c>
      <c r="W102" s="141">
        <v>79396.068594355296</v>
      </c>
    </row>
    <row r="103" spans="1:46" x14ac:dyDescent="0.35">
      <c r="A103" s="12" t="str">
        <v>Incoming fixed to fixed traffic</v>
      </c>
      <c r="B103" s="18"/>
      <c r="D103" s="142">
        <v>81759.270475926955</v>
      </c>
      <c r="E103" s="142">
        <v>68770.817736579964</v>
      </c>
      <c r="F103" s="142">
        <v>59771.715882678473</v>
      </c>
      <c r="G103" s="142">
        <v>52930.712396236857</v>
      </c>
      <c r="H103" s="142">
        <v>52930.712396236857</v>
      </c>
      <c r="I103" s="142">
        <v>52930.712396236857</v>
      </c>
      <c r="J103" s="142">
        <v>52930.712396236857</v>
      </c>
      <c r="K103" s="142">
        <v>52930.712396236857</v>
      </c>
      <c r="L103" s="142">
        <v>52930.712396236857</v>
      </c>
      <c r="M103" s="142">
        <v>52930.712396236857</v>
      </c>
      <c r="N103" s="142">
        <v>52930.712396236857</v>
      </c>
      <c r="O103" s="142">
        <v>52930.712396236857</v>
      </c>
      <c r="P103" s="142">
        <v>52930.712396236857</v>
      </c>
      <c r="Q103" s="142">
        <v>52930.712396236857</v>
      </c>
      <c r="R103" s="142">
        <v>52930.712396236857</v>
      </c>
      <c r="S103" s="142">
        <v>52930.712396236857</v>
      </c>
      <c r="T103" s="142">
        <v>52930.712396236857</v>
      </c>
      <c r="U103" s="142">
        <v>52930.712396236857</v>
      </c>
      <c r="V103" s="142">
        <v>52930.712396236857</v>
      </c>
      <c r="W103" s="142">
        <v>52930.712396236857</v>
      </c>
    </row>
    <row r="104" spans="1:46" x14ac:dyDescent="0.35">
      <c r="A104" s="12" t="str">
        <v>Off-net fixed to fixed traffic</v>
      </c>
      <c r="B104" s="18"/>
      <c r="D104" s="138">
        <v>81759.270475926955</v>
      </c>
      <c r="E104" s="138">
        <v>68770.817736579964</v>
      </c>
      <c r="F104" s="138">
        <v>59771.715882678473</v>
      </c>
      <c r="G104" s="138">
        <v>52930.712396236857</v>
      </c>
      <c r="H104" s="138">
        <v>52930.712396236857</v>
      </c>
      <c r="I104" s="138">
        <v>52930.712396236857</v>
      </c>
      <c r="J104" s="138">
        <v>52930.712396236857</v>
      </c>
      <c r="K104" s="138">
        <v>52930.712396236857</v>
      </c>
      <c r="L104" s="138">
        <v>52930.712396236857</v>
      </c>
      <c r="M104" s="138">
        <v>52930.712396236857</v>
      </c>
      <c r="N104" s="138">
        <v>52930.712396236857</v>
      </c>
      <c r="O104" s="138">
        <v>52930.712396236857</v>
      </c>
      <c r="P104" s="138">
        <v>52930.712396236857</v>
      </c>
      <c r="Q104" s="138">
        <v>52930.712396236857</v>
      </c>
      <c r="R104" s="138">
        <v>52930.712396236857</v>
      </c>
      <c r="S104" s="138">
        <v>52930.712396236857</v>
      </c>
      <c r="T104" s="138">
        <v>52930.712396236857</v>
      </c>
      <c r="U104" s="138">
        <v>52930.712396236857</v>
      </c>
      <c r="V104" s="138">
        <v>52930.712396236857</v>
      </c>
      <c r="W104" s="138">
        <v>52930.712396236857</v>
      </c>
    </row>
    <row r="105" spans="1:46" x14ac:dyDescent="0.35">
      <c r="A105" s="12" t="str">
        <v>Fixed to Mobile Telephone traffic</v>
      </c>
      <c r="B105" s="18"/>
      <c r="D105" s="138">
        <v>274198.68628943001</v>
      </c>
      <c r="E105" s="138">
        <v>200266.14167127837</v>
      </c>
      <c r="F105" s="138">
        <v>216299.36483121198</v>
      </c>
      <c r="G105" s="138">
        <v>202884.8139180963</v>
      </c>
      <c r="H105" s="138">
        <v>202884.8139180963</v>
      </c>
      <c r="I105" s="138">
        <v>202884.8139180963</v>
      </c>
      <c r="J105" s="138">
        <v>202884.8139180963</v>
      </c>
      <c r="K105" s="138">
        <v>202884.8139180963</v>
      </c>
      <c r="L105" s="138">
        <v>202884.8139180963</v>
      </c>
      <c r="M105" s="138">
        <v>202884.8139180963</v>
      </c>
      <c r="N105" s="138">
        <v>202884.8139180963</v>
      </c>
      <c r="O105" s="138">
        <v>202884.8139180963</v>
      </c>
      <c r="P105" s="138">
        <v>202884.8139180963</v>
      </c>
      <c r="Q105" s="138">
        <v>202884.8139180963</v>
      </c>
      <c r="R105" s="138">
        <v>202884.8139180963</v>
      </c>
      <c r="S105" s="138">
        <v>202884.8139180963</v>
      </c>
      <c r="T105" s="138">
        <v>202884.8139180963</v>
      </c>
      <c r="U105" s="138">
        <v>202884.8139180963</v>
      </c>
      <c r="V105" s="138">
        <v>202884.8139180963</v>
      </c>
      <c r="W105" s="138">
        <v>202884.8139180963</v>
      </c>
    </row>
    <row r="106" spans="1:46" x14ac:dyDescent="0.35">
      <c r="A106" s="12" t="str">
        <v>Outgoing mobile traffic to fixed networks</v>
      </c>
      <c r="B106" s="18"/>
      <c r="D106" s="138">
        <v>79679.28112894301</v>
      </c>
      <c r="E106" s="138">
        <v>82934.272551189832</v>
      </c>
      <c r="F106" s="138">
        <v>99170.511828998337</v>
      </c>
      <c r="G106" s="138">
        <v>92391.18753458772</v>
      </c>
      <c r="H106" s="138">
        <v>92391.18753458772</v>
      </c>
      <c r="I106" s="138">
        <v>92391.18753458772</v>
      </c>
      <c r="J106" s="138">
        <v>92391.18753458772</v>
      </c>
      <c r="K106" s="138">
        <v>92391.18753458772</v>
      </c>
      <c r="L106" s="138">
        <v>92391.18753458772</v>
      </c>
      <c r="M106" s="138">
        <v>92391.18753458772</v>
      </c>
      <c r="N106" s="138">
        <v>92391.18753458772</v>
      </c>
      <c r="O106" s="138">
        <v>92391.18753458772</v>
      </c>
      <c r="P106" s="138">
        <v>92391.18753458772</v>
      </c>
      <c r="Q106" s="138">
        <v>92391.18753458772</v>
      </c>
      <c r="R106" s="138">
        <v>92391.18753458772</v>
      </c>
      <c r="S106" s="138">
        <v>92391.18753458772</v>
      </c>
      <c r="T106" s="138">
        <v>92391.18753458772</v>
      </c>
      <c r="U106" s="138">
        <v>92391.18753458772</v>
      </c>
      <c r="V106" s="138">
        <v>92391.18753458772</v>
      </c>
      <c r="W106" s="138">
        <v>92391.18753458772</v>
      </c>
    </row>
    <row r="107" spans="1:46" x14ac:dyDescent="0.35">
      <c r="A107" s="12" t="str">
        <v xml:space="preserve">International incoming fixed telephone traffic </v>
      </c>
      <c r="B107" s="18"/>
      <c r="D107" s="138">
        <v>12145.582339513006</v>
      </c>
      <c r="E107" s="138">
        <v>5322.7930686220261</v>
      </c>
      <c r="F107" s="138">
        <v>3473.6630118981739</v>
      </c>
      <c r="G107" s="138">
        <v>1519.3753195904815</v>
      </c>
      <c r="H107" s="138">
        <v>1519.3753195904815</v>
      </c>
      <c r="I107" s="138">
        <v>1519.3753195904815</v>
      </c>
      <c r="J107" s="138">
        <v>1519.3753195904815</v>
      </c>
      <c r="K107" s="138">
        <v>1519.3753195904815</v>
      </c>
      <c r="L107" s="138">
        <v>1519.3753195904815</v>
      </c>
      <c r="M107" s="138">
        <v>1519.3753195904815</v>
      </c>
      <c r="N107" s="138">
        <v>1519.3753195904815</v>
      </c>
      <c r="O107" s="138">
        <v>1519.3753195904815</v>
      </c>
      <c r="P107" s="138">
        <v>1519.3753195904815</v>
      </c>
      <c r="Q107" s="138">
        <v>1519.3753195904815</v>
      </c>
      <c r="R107" s="138">
        <v>1519.3753195904815</v>
      </c>
      <c r="S107" s="138">
        <v>1519.3753195904815</v>
      </c>
      <c r="T107" s="138">
        <v>1519.3753195904815</v>
      </c>
      <c r="U107" s="138">
        <v>1519.3753195904815</v>
      </c>
      <c r="V107" s="138">
        <v>1519.3753195904815</v>
      </c>
      <c r="W107" s="138">
        <v>1519.3753195904815</v>
      </c>
    </row>
    <row r="108" spans="1:46" x14ac:dyDescent="0.35">
      <c r="A108" s="12" t="str">
        <v>International outgoing fixed telephone traffic</v>
      </c>
      <c r="B108" s="18"/>
      <c r="D108" s="138">
        <v>11999.700276701717</v>
      </c>
      <c r="E108" s="138">
        <v>2687.2129122855563</v>
      </c>
      <c r="F108" s="138">
        <v>2747.8046382125071</v>
      </c>
      <c r="G108" s="138">
        <v>2186.1637465412286</v>
      </c>
      <c r="H108" s="138">
        <v>2186.1637465412286</v>
      </c>
      <c r="I108" s="138">
        <v>2186.1637465412286</v>
      </c>
      <c r="J108" s="138">
        <v>2186.1637465412286</v>
      </c>
      <c r="K108" s="138">
        <v>2186.1637465412286</v>
      </c>
      <c r="L108" s="138">
        <v>2186.1637465412286</v>
      </c>
      <c r="M108" s="138">
        <v>2186.1637465412286</v>
      </c>
      <c r="N108" s="138">
        <v>2186.1637465412286</v>
      </c>
      <c r="O108" s="138">
        <v>2186.1637465412286</v>
      </c>
      <c r="P108" s="138">
        <v>2186.1637465412286</v>
      </c>
      <c r="Q108" s="138">
        <v>2186.1637465412286</v>
      </c>
      <c r="R108" s="138">
        <v>2186.1637465412286</v>
      </c>
      <c r="S108" s="138">
        <v>2186.1637465412286</v>
      </c>
      <c r="T108" s="138">
        <v>2186.1637465412286</v>
      </c>
      <c r="U108" s="138">
        <v>2186.1637465412286</v>
      </c>
      <c r="V108" s="138">
        <v>2186.1637465412286</v>
      </c>
      <c r="W108" s="138">
        <v>2186.1637465412286</v>
      </c>
      <c r="X108" s="15" t="s">
        <v>98</v>
      </c>
    </row>
    <row r="109" spans="1:46" x14ac:dyDescent="0.35">
      <c r="B109" s="18"/>
      <c r="D109" s="164"/>
      <c r="E109" s="164"/>
      <c r="F109" s="164"/>
      <c r="G109" s="164"/>
      <c r="H109" s="164"/>
      <c r="I109" s="164"/>
      <c r="J109" s="164"/>
      <c r="K109" s="164"/>
      <c r="L109" s="164"/>
      <c r="M109" s="164"/>
      <c r="N109" s="164"/>
      <c r="O109" s="164"/>
      <c r="P109" s="164"/>
      <c r="Q109" s="164"/>
      <c r="R109" s="164"/>
      <c r="S109" s="164"/>
      <c r="T109" s="164"/>
      <c r="U109" s="164"/>
      <c r="V109" s="164"/>
      <c r="W109" s="164"/>
    </row>
    <row r="110" spans="1:46" x14ac:dyDescent="0.35">
      <c r="A110" s="12" t="s">
        <v>99</v>
      </c>
      <c r="B110" s="18"/>
      <c r="D110" s="171">
        <f>SUM(D102:D108)</f>
        <v>664180.69670033199</v>
      </c>
      <c r="E110" s="171">
        <f t="shared" ref="E110:W110" si="7">SUM(E102:E108)</f>
        <v>531908.28228140576</v>
      </c>
      <c r="F110" s="171">
        <f t="shared" si="7"/>
        <v>530892.3498996956</v>
      </c>
      <c r="G110" s="171">
        <f t="shared" si="7"/>
        <v>484239.03390564473</v>
      </c>
      <c r="H110" s="171">
        <f t="shared" si="7"/>
        <v>484239.03390564473</v>
      </c>
      <c r="I110" s="171">
        <f t="shared" si="7"/>
        <v>484239.03390564473</v>
      </c>
      <c r="J110" s="171">
        <f t="shared" si="7"/>
        <v>484239.03390564473</v>
      </c>
      <c r="K110" s="171">
        <f t="shared" si="7"/>
        <v>484239.03390564473</v>
      </c>
      <c r="L110" s="171">
        <f t="shared" si="7"/>
        <v>484239.03390564473</v>
      </c>
      <c r="M110" s="171">
        <f t="shared" si="7"/>
        <v>484239.03390564473</v>
      </c>
      <c r="N110" s="171">
        <f t="shared" si="7"/>
        <v>484239.03390564473</v>
      </c>
      <c r="O110" s="171">
        <f t="shared" si="7"/>
        <v>484239.03390564473</v>
      </c>
      <c r="P110" s="171">
        <f t="shared" si="7"/>
        <v>484239.03390564473</v>
      </c>
      <c r="Q110" s="171">
        <f t="shared" si="7"/>
        <v>484239.03390564473</v>
      </c>
      <c r="R110" s="171">
        <f t="shared" si="7"/>
        <v>484239.03390564473</v>
      </c>
      <c r="S110" s="171">
        <f t="shared" si="7"/>
        <v>484239.03390564473</v>
      </c>
      <c r="T110" s="171">
        <f t="shared" si="7"/>
        <v>484239.03390564473</v>
      </c>
      <c r="U110" s="171">
        <f t="shared" si="7"/>
        <v>484239.03390564473</v>
      </c>
      <c r="V110" s="171">
        <f t="shared" si="7"/>
        <v>484239.03390564473</v>
      </c>
      <c r="W110" s="171">
        <f t="shared" si="7"/>
        <v>484239.03390564473</v>
      </c>
      <c r="X110" s="15" t="s">
        <v>100</v>
      </c>
      <c r="Z110" s="171" cm="1">
        <f t="array" ref="Z110:AS110">D110:W110-D103:W103-D106:W106-D107:W107</f>
        <v>490596.56275594904</v>
      </c>
      <c r="AA110" s="171">
        <v>374880.39892501396</v>
      </c>
      <c r="AB110" s="171">
        <v>368476.45917612064</v>
      </c>
      <c r="AC110" s="171">
        <v>337397.75865522964</v>
      </c>
      <c r="AD110" s="171">
        <v>337397.75865522964</v>
      </c>
      <c r="AE110" s="171">
        <v>337397.75865522964</v>
      </c>
      <c r="AF110" s="171">
        <v>337397.75865522964</v>
      </c>
      <c r="AG110" s="171">
        <v>337397.75865522964</v>
      </c>
      <c r="AH110" s="171">
        <v>337397.75865522964</v>
      </c>
      <c r="AI110" s="171">
        <v>337397.75865522964</v>
      </c>
      <c r="AJ110" s="171">
        <v>337397.75865522964</v>
      </c>
      <c r="AK110" s="171">
        <v>337397.75865522964</v>
      </c>
      <c r="AL110" s="171">
        <v>337397.75865522964</v>
      </c>
      <c r="AM110" s="171">
        <v>337397.75865522964</v>
      </c>
      <c r="AN110" s="171">
        <v>337397.75865522964</v>
      </c>
      <c r="AO110" s="171">
        <v>337397.75865522964</v>
      </c>
      <c r="AP110" s="171">
        <v>337397.75865522964</v>
      </c>
      <c r="AQ110" s="171">
        <v>337397.75865522964</v>
      </c>
      <c r="AR110" s="171">
        <v>337397.75865522964</v>
      </c>
      <c r="AS110" s="171">
        <v>337397.75865522964</v>
      </c>
      <c r="AT110" s="15" t="s">
        <v>101</v>
      </c>
    </row>
    <row r="111" spans="1:46" x14ac:dyDescent="0.35">
      <c r="B111" s="18"/>
      <c r="D111" s="164"/>
      <c r="E111" s="164"/>
      <c r="F111" s="164"/>
      <c r="G111" s="164"/>
      <c r="H111" s="164"/>
      <c r="I111" s="164"/>
      <c r="J111" s="164"/>
      <c r="K111" s="164"/>
      <c r="L111" s="164"/>
      <c r="M111" s="164"/>
      <c r="N111" s="164"/>
      <c r="O111" s="164"/>
      <c r="P111" s="164"/>
      <c r="Q111" s="164"/>
      <c r="R111" s="164"/>
      <c r="S111" s="164"/>
      <c r="T111" s="164"/>
      <c r="U111" s="164"/>
      <c r="V111" s="164"/>
      <c r="W111" s="164"/>
      <c r="X111" s="15"/>
    </row>
    <row r="112" spans="1:46" x14ac:dyDescent="0.35">
      <c r="A112" s="12" t="s">
        <v>436</v>
      </c>
      <c r="B112" s="18"/>
      <c r="D112" s="164"/>
      <c r="E112" s="164"/>
      <c r="F112" s="164"/>
      <c r="G112" s="164"/>
      <c r="H112" s="164"/>
      <c r="I112" s="164"/>
      <c r="J112" s="164"/>
      <c r="K112" s="164"/>
      <c r="L112" s="164"/>
      <c r="M112" s="164"/>
      <c r="N112" s="164"/>
      <c r="O112" s="164"/>
      <c r="P112" s="164"/>
      <c r="Q112" s="164"/>
      <c r="R112" s="164"/>
      <c r="S112" s="164"/>
      <c r="T112" s="164"/>
      <c r="U112" s="164"/>
      <c r="V112" s="164"/>
      <c r="W112" s="164"/>
      <c r="X112" s="15"/>
    </row>
    <row r="113" spans="1:46" x14ac:dyDescent="0.35">
      <c r="B113" s="18"/>
      <c r="D113" s="164"/>
      <c r="E113" s="164"/>
      <c r="F113" s="164"/>
      <c r="G113" s="164"/>
      <c r="H113" s="164"/>
      <c r="I113" s="164"/>
      <c r="J113" s="164"/>
      <c r="K113" s="164"/>
      <c r="L113" s="164"/>
      <c r="M113" s="164"/>
      <c r="N113" s="164"/>
      <c r="O113" s="164"/>
      <c r="P113" s="164"/>
      <c r="Q113" s="164"/>
      <c r="R113" s="164"/>
      <c r="S113" s="164"/>
      <c r="T113" s="164"/>
      <c r="U113" s="164"/>
      <c r="V113" s="164"/>
      <c r="W113" s="164"/>
      <c r="X113" s="15"/>
    </row>
    <row r="114" spans="1:46" x14ac:dyDescent="0.35">
      <c r="B114" s="18"/>
      <c r="D114" s="52" cm="1">
        <f t="array" ref="D114:W114">years</f>
        <v>2018</v>
      </c>
      <c r="E114" s="52">
        <v>2019</v>
      </c>
      <c r="F114" s="52">
        <v>2020</v>
      </c>
      <c r="G114" s="52">
        <v>2021</v>
      </c>
      <c r="H114" s="52">
        <v>2022</v>
      </c>
      <c r="I114" s="52">
        <v>2023</v>
      </c>
      <c r="J114" s="52">
        <v>2024</v>
      </c>
      <c r="K114" s="52">
        <v>2025</v>
      </c>
      <c r="L114" s="52">
        <v>2026</v>
      </c>
      <c r="M114" s="52">
        <v>2027</v>
      </c>
      <c r="N114" s="52">
        <v>2028</v>
      </c>
      <c r="O114" s="52">
        <v>2029</v>
      </c>
      <c r="P114" s="52">
        <v>2030</v>
      </c>
      <c r="Q114" s="52">
        <v>2031</v>
      </c>
      <c r="R114" s="52">
        <v>2032</v>
      </c>
      <c r="S114" s="52">
        <v>2033</v>
      </c>
      <c r="T114" s="52">
        <v>2034</v>
      </c>
      <c r="U114" s="52">
        <v>2035</v>
      </c>
      <c r="V114" s="52">
        <v>2036</v>
      </c>
      <c r="W114" s="52">
        <v>2037</v>
      </c>
      <c r="X114" s="15"/>
      <c r="Z114" s="52" cm="1">
        <f t="array" ref="Z114:AS114">years</f>
        <v>2018</v>
      </c>
      <c r="AA114" s="52">
        <v>2019</v>
      </c>
      <c r="AB114" s="52">
        <v>2020</v>
      </c>
      <c r="AC114" s="52">
        <v>2021</v>
      </c>
      <c r="AD114" s="52">
        <v>2022</v>
      </c>
      <c r="AE114" s="52">
        <v>2023</v>
      </c>
      <c r="AF114" s="52">
        <v>2024</v>
      </c>
      <c r="AG114" s="52">
        <v>2025</v>
      </c>
      <c r="AH114" s="52">
        <v>2026</v>
      </c>
      <c r="AI114" s="52">
        <v>2027</v>
      </c>
      <c r="AJ114" s="52">
        <v>2028</v>
      </c>
      <c r="AK114" s="52">
        <v>2029</v>
      </c>
      <c r="AL114" s="52">
        <v>2030</v>
      </c>
      <c r="AM114" s="52">
        <v>2031</v>
      </c>
      <c r="AN114" s="52">
        <v>2032</v>
      </c>
      <c r="AO114" s="52">
        <v>2033</v>
      </c>
      <c r="AP114" s="52">
        <v>2034</v>
      </c>
      <c r="AQ114" s="52">
        <v>2035</v>
      </c>
      <c r="AR114" s="52">
        <v>2036</v>
      </c>
      <c r="AS114" s="52">
        <v>2037</v>
      </c>
      <c r="AT114"/>
    </row>
    <row r="115" spans="1:46" x14ac:dyDescent="0.35">
      <c r="A115" s="12" t="str" cm="1">
        <f t="array" ref="A115:A121">fixed_services</f>
        <v>On-net fixed to fixed traffic</v>
      </c>
      <c r="B115" s="18"/>
      <c r="D115" s="138">
        <f>D102*onnet_factor</f>
        <v>245277.81142778086</v>
      </c>
      <c r="E115" s="138">
        <f t="shared" ref="E115:W115" si="8">E102*onnet_factor</f>
        <v>206312.45320973994</v>
      </c>
      <c r="F115" s="138">
        <f t="shared" si="8"/>
        <v>179315.14764803543</v>
      </c>
      <c r="G115" s="138">
        <f t="shared" si="8"/>
        <v>158792.13718871059</v>
      </c>
      <c r="H115" s="138">
        <f t="shared" si="8"/>
        <v>158792.13718871059</v>
      </c>
      <c r="I115" s="138">
        <f t="shared" si="8"/>
        <v>158792.13718871059</v>
      </c>
      <c r="J115" s="138">
        <f t="shared" si="8"/>
        <v>158792.13718871059</v>
      </c>
      <c r="K115" s="138">
        <f t="shared" si="8"/>
        <v>158792.13718871059</v>
      </c>
      <c r="L115" s="138">
        <f t="shared" si="8"/>
        <v>158792.13718871059</v>
      </c>
      <c r="M115" s="138">
        <f t="shared" si="8"/>
        <v>158792.13718871059</v>
      </c>
      <c r="N115" s="138">
        <f t="shared" si="8"/>
        <v>158792.13718871059</v>
      </c>
      <c r="O115" s="138">
        <f t="shared" si="8"/>
        <v>158792.13718871059</v>
      </c>
      <c r="P115" s="138">
        <f t="shared" si="8"/>
        <v>158792.13718871059</v>
      </c>
      <c r="Q115" s="138">
        <f t="shared" si="8"/>
        <v>158792.13718871059</v>
      </c>
      <c r="R115" s="138">
        <f t="shared" si="8"/>
        <v>158792.13718871059</v>
      </c>
      <c r="S115" s="138">
        <f t="shared" si="8"/>
        <v>158792.13718871059</v>
      </c>
      <c r="T115" s="138">
        <f t="shared" si="8"/>
        <v>158792.13718871059</v>
      </c>
      <c r="U115" s="138">
        <f t="shared" si="8"/>
        <v>158792.13718871059</v>
      </c>
      <c r="V115" s="138">
        <f t="shared" si="8"/>
        <v>158792.13718871059</v>
      </c>
      <c r="W115" s="138">
        <f t="shared" si="8"/>
        <v>158792.13718871059</v>
      </c>
      <c r="X115" s="15"/>
    </row>
    <row r="116" spans="1:46" x14ac:dyDescent="0.35">
      <c r="A116" s="12" t="str">
        <v>Incoming fixed to fixed traffic</v>
      </c>
      <c r="B116" s="18"/>
      <c r="D116" s="138">
        <f t="shared" ref="D116:D121" si="9">D103</f>
        <v>81759.270475926955</v>
      </c>
      <c r="E116" s="138">
        <f t="shared" ref="E116:W116" si="10">E103</f>
        <v>68770.817736579964</v>
      </c>
      <c r="F116" s="138">
        <f t="shared" si="10"/>
        <v>59771.715882678473</v>
      </c>
      <c r="G116" s="138">
        <f t="shared" si="10"/>
        <v>52930.712396236857</v>
      </c>
      <c r="H116" s="138">
        <f t="shared" si="10"/>
        <v>52930.712396236857</v>
      </c>
      <c r="I116" s="138">
        <f t="shared" si="10"/>
        <v>52930.712396236857</v>
      </c>
      <c r="J116" s="138">
        <f t="shared" si="10"/>
        <v>52930.712396236857</v>
      </c>
      <c r="K116" s="138">
        <f t="shared" si="10"/>
        <v>52930.712396236857</v>
      </c>
      <c r="L116" s="138">
        <f t="shared" si="10"/>
        <v>52930.712396236857</v>
      </c>
      <c r="M116" s="138">
        <f t="shared" si="10"/>
        <v>52930.712396236857</v>
      </c>
      <c r="N116" s="138">
        <f t="shared" si="10"/>
        <v>52930.712396236857</v>
      </c>
      <c r="O116" s="138">
        <f t="shared" si="10"/>
        <v>52930.712396236857</v>
      </c>
      <c r="P116" s="138">
        <f t="shared" si="10"/>
        <v>52930.712396236857</v>
      </c>
      <c r="Q116" s="138">
        <f t="shared" si="10"/>
        <v>52930.712396236857</v>
      </c>
      <c r="R116" s="138">
        <f t="shared" si="10"/>
        <v>52930.712396236857</v>
      </c>
      <c r="S116" s="138">
        <f t="shared" si="10"/>
        <v>52930.712396236857</v>
      </c>
      <c r="T116" s="138">
        <f t="shared" si="10"/>
        <v>52930.712396236857</v>
      </c>
      <c r="U116" s="138">
        <f t="shared" si="10"/>
        <v>52930.712396236857</v>
      </c>
      <c r="V116" s="138">
        <f t="shared" si="10"/>
        <v>52930.712396236857</v>
      </c>
      <c r="W116" s="138">
        <f t="shared" si="10"/>
        <v>52930.712396236857</v>
      </c>
      <c r="X116" s="15"/>
    </row>
    <row r="117" spans="1:46" x14ac:dyDescent="0.35">
      <c r="A117" s="12" t="str">
        <v>Off-net fixed to fixed traffic</v>
      </c>
      <c r="B117" s="18"/>
      <c r="D117" s="138">
        <f t="shared" si="9"/>
        <v>81759.270475926955</v>
      </c>
      <c r="E117" s="138">
        <f t="shared" ref="E117:W117" si="11">E104</f>
        <v>68770.817736579964</v>
      </c>
      <c r="F117" s="138">
        <f t="shared" si="11"/>
        <v>59771.715882678473</v>
      </c>
      <c r="G117" s="138">
        <f t="shared" si="11"/>
        <v>52930.712396236857</v>
      </c>
      <c r="H117" s="138">
        <f t="shared" si="11"/>
        <v>52930.712396236857</v>
      </c>
      <c r="I117" s="138">
        <f t="shared" si="11"/>
        <v>52930.712396236857</v>
      </c>
      <c r="J117" s="138">
        <f t="shared" si="11"/>
        <v>52930.712396236857</v>
      </c>
      <c r="K117" s="138">
        <f t="shared" si="11"/>
        <v>52930.712396236857</v>
      </c>
      <c r="L117" s="138">
        <f t="shared" si="11"/>
        <v>52930.712396236857</v>
      </c>
      <c r="M117" s="138">
        <f t="shared" si="11"/>
        <v>52930.712396236857</v>
      </c>
      <c r="N117" s="138">
        <f t="shared" si="11"/>
        <v>52930.712396236857</v>
      </c>
      <c r="O117" s="138">
        <f t="shared" si="11"/>
        <v>52930.712396236857</v>
      </c>
      <c r="P117" s="138">
        <f t="shared" si="11"/>
        <v>52930.712396236857</v>
      </c>
      <c r="Q117" s="138">
        <f t="shared" si="11"/>
        <v>52930.712396236857</v>
      </c>
      <c r="R117" s="138">
        <f t="shared" si="11"/>
        <v>52930.712396236857</v>
      </c>
      <c r="S117" s="138">
        <f t="shared" si="11"/>
        <v>52930.712396236857</v>
      </c>
      <c r="T117" s="138">
        <f t="shared" si="11"/>
        <v>52930.712396236857</v>
      </c>
      <c r="U117" s="138">
        <f t="shared" si="11"/>
        <v>52930.712396236857</v>
      </c>
      <c r="V117" s="138">
        <f t="shared" si="11"/>
        <v>52930.712396236857</v>
      </c>
      <c r="W117" s="138">
        <f t="shared" si="11"/>
        <v>52930.712396236857</v>
      </c>
      <c r="X117" s="15"/>
    </row>
    <row r="118" spans="1:46" x14ac:dyDescent="0.35">
      <c r="A118" s="12" t="str">
        <v>Fixed to Mobile Telephone traffic</v>
      </c>
      <c r="B118" s="18"/>
      <c r="D118" s="138">
        <f t="shared" si="9"/>
        <v>274198.68628943001</v>
      </c>
      <c r="E118" s="138">
        <f t="shared" ref="E118:W118" si="12">E105</f>
        <v>200266.14167127837</v>
      </c>
      <c r="F118" s="138">
        <f t="shared" si="12"/>
        <v>216299.36483121198</v>
      </c>
      <c r="G118" s="138">
        <f t="shared" si="12"/>
        <v>202884.8139180963</v>
      </c>
      <c r="H118" s="138">
        <f t="shared" si="12"/>
        <v>202884.8139180963</v>
      </c>
      <c r="I118" s="138">
        <f t="shared" si="12"/>
        <v>202884.8139180963</v>
      </c>
      <c r="J118" s="138">
        <f t="shared" si="12"/>
        <v>202884.8139180963</v>
      </c>
      <c r="K118" s="138">
        <f t="shared" si="12"/>
        <v>202884.8139180963</v>
      </c>
      <c r="L118" s="138">
        <f t="shared" si="12"/>
        <v>202884.8139180963</v>
      </c>
      <c r="M118" s="138">
        <f t="shared" si="12"/>
        <v>202884.8139180963</v>
      </c>
      <c r="N118" s="138">
        <f t="shared" si="12"/>
        <v>202884.8139180963</v>
      </c>
      <c r="O118" s="138">
        <f t="shared" si="12"/>
        <v>202884.8139180963</v>
      </c>
      <c r="P118" s="138">
        <f t="shared" si="12"/>
        <v>202884.8139180963</v>
      </c>
      <c r="Q118" s="138">
        <f t="shared" si="12"/>
        <v>202884.8139180963</v>
      </c>
      <c r="R118" s="138">
        <f t="shared" si="12"/>
        <v>202884.8139180963</v>
      </c>
      <c r="S118" s="138">
        <f t="shared" si="12"/>
        <v>202884.8139180963</v>
      </c>
      <c r="T118" s="138">
        <f t="shared" si="12"/>
        <v>202884.8139180963</v>
      </c>
      <c r="U118" s="138">
        <f t="shared" si="12"/>
        <v>202884.8139180963</v>
      </c>
      <c r="V118" s="138">
        <f t="shared" si="12"/>
        <v>202884.8139180963</v>
      </c>
      <c r="W118" s="138">
        <f t="shared" si="12"/>
        <v>202884.8139180963</v>
      </c>
      <c r="X118" s="15"/>
    </row>
    <row r="119" spans="1:46" x14ac:dyDescent="0.35">
      <c r="A119" s="12" t="str">
        <v>Outgoing mobile traffic to fixed networks</v>
      </c>
      <c r="B119" s="18"/>
      <c r="D119" s="138">
        <f t="shared" si="9"/>
        <v>79679.28112894301</v>
      </c>
      <c r="E119" s="138">
        <f t="shared" ref="E119:W119" si="13">E106</f>
        <v>82934.272551189832</v>
      </c>
      <c r="F119" s="138">
        <f t="shared" si="13"/>
        <v>99170.511828998337</v>
      </c>
      <c r="G119" s="138">
        <f t="shared" si="13"/>
        <v>92391.18753458772</v>
      </c>
      <c r="H119" s="138">
        <f t="shared" si="13"/>
        <v>92391.18753458772</v>
      </c>
      <c r="I119" s="138">
        <f t="shared" si="13"/>
        <v>92391.18753458772</v>
      </c>
      <c r="J119" s="138">
        <f t="shared" si="13"/>
        <v>92391.18753458772</v>
      </c>
      <c r="K119" s="138">
        <f t="shared" si="13"/>
        <v>92391.18753458772</v>
      </c>
      <c r="L119" s="138">
        <f t="shared" si="13"/>
        <v>92391.18753458772</v>
      </c>
      <c r="M119" s="138">
        <f t="shared" si="13"/>
        <v>92391.18753458772</v>
      </c>
      <c r="N119" s="138">
        <f t="shared" si="13"/>
        <v>92391.18753458772</v>
      </c>
      <c r="O119" s="138">
        <f t="shared" si="13"/>
        <v>92391.18753458772</v>
      </c>
      <c r="P119" s="138">
        <f t="shared" si="13"/>
        <v>92391.18753458772</v>
      </c>
      <c r="Q119" s="138">
        <f t="shared" si="13"/>
        <v>92391.18753458772</v>
      </c>
      <c r="R119" s="138">
        <f t="shared" si="13"/>
        <v>92391.18753458772</v>
      </c>
      <c r="S119" s="138">
        <f t="shared" si="13"/>
        <v>92391.18753458772</v>
      </c>
      <c r="T119" s="138">
        <f t="shared" si="13"/>
        <v>92391.18753458772</v>
      </c>
      <c r="U119" s="138">
        <f t="shared" si="13"/>
        <v>92391.18753458772</v>
      </c>
      <c r="V119" s="138">
        <f t="shared" si="13"/>
        <v>92391.18753458772</v>
      </c>
      <c r="W119" s="138">
        <f t="shared" si="13"/>
        <v>92391.18753458772</v>
      </c>
      <c r="X119" s="15"/>
    </row>
    <row r="120" spans="1:46" x14ac:dyDescent="0.35">
      <c r="A120" s="12" t="str">
        <v xml:space="preserve">International incoming fixed telephone traffic </v>
      </c>
      <c r="B120" s="18"/>
      <c r="D120" s="138">
        <f t="shared" si="9"/>
        <v>12145.582339513006</v>
      </c>
      <c r="E120" s="138">
        <f t="shared" ref="E120:W121" si="14">E107</f>
        <v>5322.7930686220261</v>
      </c>
      <c r="F120" s="138">
        <f t="shared" si="14"/>
        <v>3473.6630118981739</v>
      </c>
      <c r="G120" s="138">
        <f t="shared" si="14"/>
        <v>1519.3753195904815</v>
      </c>
      <c r="H120" s="138">
        <f t="shared" si="14"/>
        <v>1519.3753195904815</v>
      </c>
      <c r="I120" s="138">
        <f t="shared" si="14"/>
        <v>1519.3753195904815</v>
      </c>
      <c r="J120" s="138">
        <f t="shared" si="14"/>
        <v>1519.3753195904815</v>
      </c>
      <c r="K120" s="138">
        <f t="shared" si="14"/>
        <v>1519.3753195904815</v>
      </c>
      <c r="L120" s="138">
        <f t="shared" si="14"/>
        <v>1519.3753195904815</v>
      </c>
      <c r="M120" s="138">
        <f t="shared" si="14"/>
        <v>1519.3753195904815</v>
      </c>
      <c r="N120" s="138">
        <f t="shared" si="14"/>
        <v>1519.3753195904815</v>
      </c>
      <c r="O120" s="138">
        <f t="shared" si="14"/>
        <v>1519.3753195904815</v>
      </c>
      <c r="P120" s="138">
        <f t="shared" si="14"/>
        <v>1519.3753195904815</v>
      </c>
      <c r="Q120" s="138">
        <f t="shared" si="14"/>
        <v>1519.3753195904815</v>
      </c>
      <c r="R120" s="138">
        <f t="shared" si="14"/>
        <v>1519.3753195904815</v>
      </c>
      <c r="S120" s="138">
        <f t="shared" si="14"/>
        <v>1519.3753195904815</v>
      </c>
      <c r="T120" s="138">
        <f t="shared" si="14"/>
        <v>1519.3753195904815</v>
      </c>
      <c r="U120" s="138">
        <f t="shared" si="14"/>
        <v>1519.3753195904815</v>
      </c>
      <c r="V120" s="138">
        <f t="shared" si="14"/>
        <v>1519.3753195904815</v>
      </c>
      <c r="W120" s="138">
        <f t="shared" si="14"/>
        <v>1519.3753195904815</v>
      </c>
    </row>
    <row r="121" spans="1:46" x14ac:dyDescent="0.35">
      <c r="A121" s="12" t="str">
        <v>International outgoing fixed telephone traffic</v>
      </c>
      <c r="B121" s="18"/>
      <c r="D121" s="138">
        <f t="shared" si="9"/>
        <v>11999.700276701717</v>
      </c>
      <c r="E121" s="138">
        <f t="shared" si="14"/>
        <v>2687.2129122855563</v>
      </c>
      <c r="F121" s="138">
        <f t="shared" si="14"/>
        <v>2747.8046382125071</v>
      </c>
      <c r="G121" s="138">
        <f t="shared" si="14"/>
        <v>2186.1637465412286</v>
      </c>
      <c r="H121" s="138">
        <f t="shared" si="14"/>
        <v>2186.1637465412286</v>
      </c>
      <c r="I121" s="138">
        <f t="shared" si="14"/>
        <v>2186.1637465412286</v>
      </c>
      <c r="J121" s="138">
        <f t="shared" si="14"/>
        <v>2186.1637465412286</v>
      </c>
      <c r="K121" s="138">
        <f t="shared" si="14"/>
        <v>2186.1637465412286</v>
      </c>
      <c r="L121" s="138">
        <f t="shared" si="14"/>
        <v>2186.1637465412286</v>
      </c>
      <c r="M121" s="138">
        <f t="shared" si="14"/>
        <v>2186.1637465412286</v>
      </c>
      <c r="N121" s="138">
        <f t="shared" si="14"/>
        <v>2186.1637465412286</v>
      </c>
      <c r="O121" s="138">
        <f t="shared" si="14"/>
        <v>2186.1637465412286</v>
      </c>
      <c r="P121" s="138">
        <f t="shared" si="14"/>
        <v>2186.1637465412286</v>
      </c>
      <c r="Q121" s="138">
        <f t="shared" si="14"/>
        <v>2186.1637465412286</v>
      </c>
      <c r="R121" s="138">
        <f t="shared" si="14"/>
        <v>2186.1637465412286</v>
      </c>
      <c r="S121" s="138">
        <f t="shared" si="14"/>
        <v>2186.1637465412286</v>
      </c>
      <c r="T121" s="138">
        <f t="shared" si="14"/>
        <v>2186.1637465412286</v>
      </c>
      <c r="U121" s="138">
        <f t="shared" si="14"/>
        <v>2186.1637465412286</v>
      </c>
      <c r="V121" s="138">
        <f t="shared" si="14"/>
        <v>2186.1637465412286</v>
      </c>
      <c r="W121" s="138">
        <f t="shared" si="14"/>
        <v>2186.1637465412286</v>
      </c>
      <c r="X121" s="15" t="s">
        <v>102</v>
      </c>
    </row>
    <row r="122" spans="1:46" x14ac:dyDescent="0.35">
      <c r="B122" s="18"/>
      <c r="D122" s="164"/>
      <c r="E122" s="164"/>
      <c r="F122" s="164"/>
      <c r="G122" s="164"/>
      <c r="H122" s="164"/>
      <c r="I122" s="164"/>
      <c r="J122" s="164"/>
      <c r="K122" s="164"/>
      <c r="L122" s="164"/>
      <c r="M122" s="164"/>
      <c r="N122" s="164"/>
      <c r="O122" s="164"/>
      <c r="P122" s="164"/>
      <c r="Q122" s="164"/>
      <c r="R122" s="164"/>
      <c r="S122" s="164"/>
      <c r="T122" s="164"/>
      <c r="U122" s="164"/>
      <c r="V122" s="164"/>
      <c r="W122" s="164"/>
      <c r="X122" s="15"/>
    </row>
    <row r="123" spans="1:46" x14ac:dyDescent="0.35">
      <c r="A123" s="12" t="s">
        <v>99</v>
      </c>
      <c r="B123" s="18"/>
      <c r="D123" s="138">
        <f>SUM(D115:D121)</f>
        <v>786819.60241422243</v>
      </c>
      <c r="E123" s="138">
        <f t="shared" ref="E123:W123" si="15">SUM(E115:E121)</f>
        <v>635064.5088862757</v>
      </c>
      <c r="F123" s="138">
        <f t="shared" si="15"/>
        <v>620549.92372371338</v>
      </c>
      <c r="G123" s="138">
        <f t="shared" si="15"/>
        <v>563635.10250000004</v>
      </c>
      <c r="H123" s="138">
        <f t="shared" si="15"/>
        <v>563635.10250000004</v>
      </c>
      <c r="I123" s="138">
        <f t="shared" si="15"/>
        <v>563635.10250000004</v>
      </c>
      <c r="J123" s="138">
        <f t="shared" si="15"/>
        <v>563635.10250000004</v>
      </c>
      <c r="K123" s="138">
        <f t="shared" si="15"/>
        <v>563635.10250000004</v>
      </c>
      <c r="L123" s="138">
        <f t="shared" si="15"/>
        <v>563635.10250000004</v>
      </c>
      <c r="M123" s="138">
        <f t="shared" si="15"/>
        <v>563635.10250000004</v>
      </c>
      <c r="N123" s="138">
        <f t="shared" si="15"/>
        <v>563635.10250000004</v>
      </c>
      <c r="O123" s="138">
        <f t="shared" si="15"/>
        <v>563635.10250000004</v>
      </c>
      <c r="P123" s="138">
        <f t="shared" si="15"/>
        <v>563635.10250000004</v>
      </c>
      <c r="Q123" s="138">
        <f t="shared" si="15"/>
        <v>563635.10250000004</v>
      </c>
      <c r="R123" s="138">
        <f t="shared" si="15"/>
        <v>563635.10250000004</v>
      </c>
      <c r="S123" s="138">
        <f t="shared" si="15"/>
        <v>563635.10250000004</v>
      </c>
      <c r="T123" s="138">
        <f t="shared" si="15"/>
        <v>563635.10250000004</v>
      </c>
      <c r="U123" s="138">
        <f t="shared" si="15"/>
        <v>563635.10250000004</v>
      </c>
      <c r="V123" s="138">
        <f t="shared" si="15"/>
        <v>563635.10250000004</v>
      </c>
      <c r="W123" s="138">
        <f t="shared" si="15"/>
        <v>563635.10250000004</v>
      </c>
      <c r="X123" s="15" t="s">
        <v>103</v>
      </c>
      <c r="Z123" s="138" cm="1">
        <f t="array" ref="Z123:AS123">D123:W123-D116:W116-D119:W119-D120:W120</f>
        <v>613235.46846983954</v>
      </c>
      <c r="AA123" s="138">
        <v>478036.62552988395</v>
      </c>
      <c r="AB123" s="138">
        <v>458134.03300013836</v>
      </c>
      <c r="AC123" s="138">
        <v>416793.82724958501</v>
      </c>
      <c r="AD123" s="138">
        <v>416793.82724958501</v>
      </c>
      <c r="AE123" s="138">
        <v>416793.82724958501</v>
      </c>
      <c r="AF123" s="138">
        <v>416793.82724958501</v>
      </c>
      <c r="AG123" s="138">
        <v>416793.82724958501</v>
      </c>
      <c r="AH123" s="138">
        <v>416793.82724958501</v>
      </c>
      <c r="AI123" s="138">
        <v>416793.82724958501</v>
      </c>
      <c r="AJ123" s="138">
        <v>416793.82724958501</v>
      </c>
      <c r="AK123" s="138">
        <v>416793.82724958501</v>
      </c>
      <c r="AL123" s="138">
        <v>416793.82724958501</v>
      </c>
      <c r="AM123" s="138">
        <v>416793.82724958501</v>
      </c>
      <c r="AN123" s="138">
        <v>416793.82724958501</v>
      </c>
      <c r="AO123" s="138">
        <v>416793.82724958501</v>
      </c>
      <c r="AP123" s="138">
        <v>416793.82724958501</v>
      </c>
      <c r="AQ123" s="138">
        <v>416793.82724958501</v>
      </c>
      <c r="AR123" s="138">
        <v>416793.82724958501</v>
      </c>
      <c r="AS123" s="138">
        <v>416793.82724958501</v>
      </c>
      <c r="AT123" s="15" t="s">
        <v>104</v>
      </c>
    </row>
    <row r="124" spans="1:46" x14ac:dyDescent="0.35">
      <c r="B124" s="18"/>
      <c r="D124" s="164"/>
      <c r="E124" s="164"/>
      <c r="F124" s="164"/>
      <c r="G124" s="164"/>
      <c r="H124" s="164"/>
      <c r="I124" s="164"/>
      <c r="J124" s="164"/>
      <c r="K124" s="164"/>
      <c r="L124" s="164"/>
      <c r="M124" s="164"/>
      <c r="N124" s="164"/>
      <c r="O124" s="164"/>
      <c r="P124" s="164"/>
      <c r="Q124" s="164"/>
      <c r="R124" s="164"/>
      <c r="S124" s="164"/>
      <c r="T124" s="164"/>
      <c r="U124" s="164"/>
      <c r="V124" s="164"/>
      <c r="W124" s="164"/>
      <c r="X124" s="15"/>
    </row>
    <row r="125" spans="1:46" x14ac:dyDescent="0.35">
      <c r="A125" s="48" t="s">
        <v>105</v>
      </c>
      <c r="B125" s="149"/>
      <c r="C125" s="49"/>
      <c r="D125" s="165"/>
      <c r="E125" s="165"/>
      <c r="F125" s="165"/>
      <c r="G125" s="165"/>
      <c r="H125" s="165"/>
      <c r="I125" s="165"/>
      <c r="J125" s="165"/>
      <c r="K125" s="165"/>
      <c r="L125" s="165"/>
      <c r="M125" s="165"/>
      <c r="N125" s="165"/>
      <c r="O125" s="165"/>
      <c r="P125" s="165"/>
      <c r="Q125" s="165"/>
      <c r="R125" s="165"/>
      <c r="S125" s="165"/>
      <c r="T125" s="165"/>
      <c r="U125" s="165"/>
      <c r="V125" s="165"/>
      <c r="W125" s="165"/>
      <c r="X125" s="166"/>
      <c r="Y125" s="49"/>
      <c r="Z125" s="49"/>
      <c r="AA125" s="49"/>
      <c r="AB125" s="49"/>
      <c r="AC125" s="49"/>
      <c r="AD125" s="49"/>
      <c r="AE125" s="49"/>
      <c r="AF125" s="49"/>
      <c r="AG125" s="49"/>
      <c r="AH125" s="49"/>
      <c r="AI125" s="49"/>
      <c r="AJ125" s="49"/>
      <c r="AK125" s="49"/>
      <c r="AL125" s="49"/>
      <c r="AM125" s="49"/>
      <c r="AN125" s="49"/>
      <c r="AO125" s="49"/>
      <c r="AP125" s="49"/>
      <c r="AQ125" s="49"/>
      <c r="AR125" s="49"/>
      <c r="AS125" s="49"/>
    </row>
    <row r="126" spans="1:46" x14ac:dyDescent="0.35">
      <c r="B126" s="18"/>
      <c r="D126" s="164"/>
      <c r="E126" s="164"/>
      <c r="F126" s="164"/>
      <c r="G126" s="164"/>
      <c r="H126" s="164"/>
      <c r="I126" s="164"/>
      <c r="J126" s="164"/>
      <c r="K126" s="164"/>
      <c r="L126" s="164"/>
      <c r="M126" s="164"/>
      <c r="N126" s="164"/>
      <c r="O126" s="164"/>
      <c r="P126" s="164"/>
      <c r="Q126" s="164"/>
      <c r="R126" s="164"/>
      <c r="S126" s="164"/>
      <c r="T126" s="164"/>
      <c r="U126" s="164"/>
      <c r="V126" s="164"/>
      <c r="W126" s="164"/>
      <c r="X126" s="15"/>
    </row>
    <row r="127" spans="1:46" x14ac:dyDescent="0.35">
      <c r="A127" s="12" t="s">
        <v>106</v>
      </c>
      <c r="B127" s="18"/>
      <c r="D127" s="48" t="s">
        <v>97</v>
      </c>
      <c r="E127" s="49"/>
      <c r="F127" s="49"/>
      <c r="G127" s="49"/>
      <c r="H127" s="49"/>
      <c r="I127" s="49"/>
      <c r="J127" s="49"/>
      <c r="K127" s="49"/>
      <c r="L127" s="49"/>
      <c r="M127" s="49"/>
      <c r="N127" s="49"/>
      <c r="O127" s="49"/>
      <c r="P127" s="49"/>
      <c r="Q127" s="49"/>
      <c r="R127" s="49"/>
      <c r="S127" s="49"/>
      <c r="T127" s="49"/>
      <c r="U127" s="49"/>
      <c r="V127" s="49"/>
      <c r="W127" s="49"/>
      <c r="X127" s="15"/>
      <c r="Z127" s="48" t="s">
        <v>87</v>
      </c>
      <c r="AA127" s="49"/>
      <c r="AB127" s="49"/>
      <c r="AC127" s="49"/>
      <c r="AD127" s="49"/>
      <c r="AE127" s="49"/>
      <c r="AF127" s="49"/>
      <c r="AG127" s="49"/>
      <c r="AH127" s="49"/>
      <c r="AI127" s="49"/>
      <c r="AJ127" s="49"/>
      <c r="AK127" s="49"/>
      <c r="AL127" s="49"/>
      <c r="AM127" s="49"/>
      <c r="AN127" s="49"/>
      <c r="AO127" s="49"/>
      <c r="AP127" s="49"/>
      <c r="AQ127" s="49"/>
      <c r="AR127" s="49"/>
      <c r="AS127" s="49"/>
    </row>
    <row r="128" spans="1:46" x14ac:dyDescent="0.35">
      <c r="B128" s="18"/>
      <c r="D128" s="52" cm="1">
        <f t="array" ref="D128:W128">years</f>
        <v>2018</v>
      </c>
      <c r="E128" s="52">
        <v>2019</v>
      </c>
      <c r="F128" s="52">
        <v>2020</v>
      </c>
      <c r="G128" s="52">
        <v>2021</v>
      </c>
      <c r="H128" s="52">
        <v>2022</v>
      </c>
      <c r="I128" s="52">
        <v>2023</v>
      </c>
      <c r="J128" s="52">
        <v>2024</v>
      </c>
      <c r="K128" s="52">
        <v>2025</v>
      </c>
      <c r="L128" s="52">
        <v>2026</v>
      </c>
      <c r="M128" s="52">
        <v>2027</v>
      </c>
      <c r="N128" s="52">
        <v>2028</v>
      </c>
      <c r="O128" s="52">
        <v>2029</v>
      </c>
      <c r="P128" s="52">
        <v>2030</v>
      </c>
      <c r="Q128" s="52">
        <v>2031</v>
      </c>
      <c r="R128" s="52">
        <v>2032</v>
      </c>
      <c r="S128" s="52">
        <v>2033</v>
      </c>
      <c r="T128" s="52">
        <v>2034</v>
      </c>
      <c r="U128" s="52">
        <v>2035</v>
      </c>
      <c r="V128" s="52">
        <v>2036</v>
      </c>
      <c r="W128" s="52">
        <v>2037</v>
      </c>
      <c r="X128" s="15"/>
      <c r="Z128" s="52" cm="1">
        <f t="array" ref="Z128:AS128">years</f>
        <v>2018</v>
      </c>
      <c r="AA128" s="52">
        <v>2019</v>
      </c>
      <c r="AB128" s="52">
        <v>2020</v>
      </c>
      <c r="AC128" s="52">
        <v>2021</v>
      </c>
      <c r="AD128" s="52">
        <v>2022</v>
      </c>
      <c r="AE128" s="52">
        <v>2023</v>
      </c>
      <c r="AF128" s="52">
        <v>2024</v>
      </c>
      <c r="AG128" s="52">
        <v>2025</v>
      </c>
      <c r="AH128" s="52">
        <v>2026</v>
      </c>
      <c r="AI128" s="52">
        <v>2027</v>
      </c>
      <c r="AJ128" s="52">
        <v>2028</v>
      </c>
      <c r="AK128" s="52">
        <v>2029</v>
      </c>
      <c r="AL128" s="52">
        <v>2030</v>
      </c>
      <c r="AM128" s="52">
        <v>2031</v>
      </c>
      <c r="AN128" s="52">
        <v>2032</v>
      </c>
      <c r="AO128" s="52">
        <v>2033</v>
      </c>
      <c r="AP128" s="52">
        <v>2034</v>
      </c>
      <c r="AQ128" s="52">
        <v>2035</v>
      </c>
      <c r="AR128" s="52">
        <v>2036</v>
      </c>
      <c r="AS128" s="52">
        <v>2037</v>
      </c>
    </row>
    <row r="129" spans="1:46" x14ac:dyDescent="0.35">
      <c r="A129" s="12" t="str" cm="1">
        <f t="array" ref="A129:A135">fixed_services</f>
        <v>On-net fixed to fixed traffic</v>
      </c>
      <c r="B129" s="18"/>
      <c r="D129" s="26" cm="1">
        <f t="array" ref="D129:W135">fixed_calls_service/(1-unsuccessful_calls_perc)</f>
        <v>126536.22133088158</v>
      </c>
      <c r="E129" s="26">
        <v>106434.4063195109</v>
      </c>
      <c r="F129" s="26">
        <v>92506.782732168504</v>
      </c>
      <c r="G129" s="26">
        <v>81919.179317329035</v>
      </c>
      <c r="H129" s="26">
        <v>81919.179317329035</v>
      </c>
      <c r="I129" s="26">
        <v>81919.179317329035</v>
      </c>
      <c r="J129" s="26">
        <v>81919.179317329035</v>
      </c>
      <c r="K129" s="26">
        <v>81919.179317329035</v>
      </c>
      <c r="L129" s="26">
        <v>81919.179317329035</v>
      </c>
      <c r="M129" s="26">
        <v>81919.179317329035</v>
      </c>
      <c r="N129" s="26">
        <v>81919.179317329035</v>
      </c>
      <c r="O129" s="26">
        <v>81919.179317329035</v>
      </c>
      <c r="P129" s="26">
        <v>81919.179317329035</v>
      </c>
      <c r="Q129" s="26">
        <v>81919.179317329035</v>
      </c>
      <c r="R129" s="26">
        <v>81919.179317329035</v>
      </c>
      <c r="S129" s="26">
        <v>81919.179317329035</v>
      </c>
      <c r="T129" s="26">
        <v>81919.179317329035</v>
      </c>
      <c r="U129" s="26">
        <v>81919.179317329035</v>
      </c>
      <c r="V129" s="26">
        <v>81919.179317329035</v>
      </c>
      <c r="W129" s="26">
        <v>81919.179317329035</v>
      </c>
      <c r="X129" s="15"/>
    </row>
    <row r="130" spans="1:46" x14ac:dyDescent="0.35">
      <c r="A130" s="12" t="str">
        <v>Incoming fixed to fixed traffic</v>
      </c>
      <c r="B130" s="18"/>
      <c r="D130" s="26">
        <v>84357.480887254394</v>
      </c>
      <c r="E130" s="26">
        <v>70956.270879673917</v>
      </c>
      <c r="F130" s="26">
        <v>61671.188488112333</v>
      </c>
      <c r="G130" s="26">
        <v>54612.78621155268</v>
      </c>
      <c r="H130" s="26">
        <v>54612.78621155268</v>
      </c>
      <c r="I130" s="26">
        <v>54612.78621155268</v>
      </c>
      <c r="J130" s="26">
        <v>54612.78621155268</v>
      </c>
      <c r="K130" s="26">
        <v>54612.78621155268</v>
      </c>
      <c r="L130" s="26">
        <v>54612.78621155268</v>
      </c>
      <c r="M130" s="26">
        <v>54612.78621155268</v>
      </c>
      <c r="N130" s="26">
        <v>54612.78621155268</v>
      </c>
      <c r="O130" s="26">
        <v>54612.78621155268</v>
      </c>
      <c r="P130" s="26">
        <v>54612.78621155268</v>
      </c>
      <c r="Q130" s="26">
        <v>54612.78621155268</v>
      </c>
      <c r="R130" s="26">
        <v>54612.78621155268</v>
      </c>
      <c r="S130" s="26">
        <v>54612.78621155268</v>
      </c>
      <c r="T130" s="26">
        <v>54612.78621155268</v>
      </c>
      <c r="U130" s="26">
        <v>54612.78621155268</v>
      </c>
      <c r="V130" s="26">
        <v>54612.78621155268</v>
      </c>
      <c r="W130" s="26">
        <v>54612.78621155268</v>
      </c>
      <c r="X130" s="15"/>
    </row>
    <row r="131" spans="1:46" x14ac:dyDescent="0.35">
      <c r="A131" s="12" t="str">
        <v>Off-net fixed to fixed traffic</v>
      </c>
      <c r="B131" s="18"/>
      <c r="D131" s="26">
        <v>84357.480887254394</v>
      </c>
      <c r="E131" s="26">
        <v>70956.270879673917</v>
      </c>
      <c r="F131" s="26">
        <v>61671.188488112333</v>
      </c>
      <c r="G131" s="26">
        <v>54612.78621155268</v>
      </c>
      <c r="H131" s="26">
        <v>54612.78621155268</v>
      </c>
      <c r="I131" s="26">
        <v>54612.78621155268</v>
      </c>
      <c r="J131" s="26">
        <v>54612.78621155268</v>
      </c>
      <c r="K131" s="26">
        <v>54612.78621155268</v>
      </c>
      <c r="L131" s="26">
        <v>54612.78621155268</v>
      </c>
      <c r="M131" s="26">
        <v>54612.78621155268</v>
      </c>
      <c r="N131" s="26">
        <v>54612.78621155268</v>
      </c>
      <c r="O131" s="26">
        <v>54612.78621155268</v>
      </c>
      <c r="P131" s="26">
        <v>54612.78621155268</v>
      </c>
      <c r="Q131" s="26">
        <v>54612.78621155268</v>
      </c>
      <c r="R131" s="26">
        <v>54612.78621155268</v>
      </c>
      <c r="S131" s="26">
        <v>54612.78621155268</v>
      </c>
      <c r="T131" s="26">
        <v>54612.78621155268</v>
      </c>
      <c r="U131" s="26">
        <v>54612.78621155268</v>
      </c>
      <c r="V131" s="26">
        <v>54612.78621155268</v>
      </c>
      <c r="W131" s="26">
        <v>54612.78621155268</v>
      </c>
      <c r="X131" s="15"/>
    </row>
    <row r="132" spans="1:46" x14ac:dyDescent="0.35">
      <c r="A132" s="12" t="str">
        <v>Fixed to Mobile Telephone traffic</v>
      </c>
      <c r="D132" s="26">
        <v>282912.38783474005</v>
      </c>
      <c r="E132" s="26">
        <v>206630.35665629219</v>
      </c>
      <c r="F132" s="26">
        <v>223173.09619398677</v>
      </c>
      <c r="G132" s="26">
        <v>209332.2471296908</v>
      </c>
      <c r="H132" s="26">
        <v>209332.2471296908</v>
      </c>
      <c r="I132" s="26">
        <v>209332.2471296908</v>
      </c>
      <c r="J132" s="26">
        <v>209332.2471296908</v>
      </c>
      <c r="K132" s="26">
        <v>209332.2471296908</v>
      </c>
      <c r="L132" s="26">
        <v>209332.2471296908</v>
      </c>
      <c r="M132" s="26">
        <v>209332.2471296908</v>
      </c>
      <c r="N132" s="26">
        <v>209332.2471296908</v>
      </c>
      <c r="O132" s="26">
        <v>209332.2471296908</v>
      </c>
      <c r="P132" s="26">
        <v>209332.2471296908</v>
      </c>
      <c r="Q132" s="26">
        <v>209332.2471296908</v>
      </c>
      <c r="R132" s="26">
        <v>209332.2471296908</v>
      </c>
      <c r="S132" s="26">
        <v>209332.2471296908</v>
      </c>
      <c r="T132" s="26">
        <v>209332.2471296908</v>
      </c>
      <c r="U132" s="26">
        <v>209332.2471296908</v>
      </c>
      <c r="V132" s="26">
        <v>209332.2471296908</v>
      </c>
      <c r="W132" s="26">
        <v>209332.2471296908</v>
      </c>
    </row>
    <row r="133" spans="1:46" x14ac:dyDescent="0.35">
      <c r="A133" s="12" t="str">
        <v>Outgoing mobile traffic to fixed networks</v>
      </c>
      <c r="D133" s="26">
        <v>82211.392002623834</v>
      </c>
      <c r="E133" s="26">
        <v>85569.823102754686</v>
      </c>
      <c r="F133" s="26">
        <v>102322.0303642162</v>
      </c>
      <c r="G133" s="26">
        <v>95327.267369570502</v>
      </c>
      <c r="H133" s="26">
        <v>95327.267369570502</v>
      </c>
      <c r="I133" s="26">
        <v>95327.267369570502</v>
      </c>
      <c r="J133" s="26">
        <v>95327.267369570502</v>
      </c>
      <c r="K133" s="26">
        <v>95327.267369570502</v>
      </c>
      <c r="L133" s="26">
        <v>95327.267369570502</v>
      </c>
      <c r="M133" s="26">
        <v>95327.267369570502</v>
      </c>
      <c r="N133" s="26">
        <v>95327.267369570502</v>
      </c>
      <c r="O133" s="26">
        <v>95327.267369570502</v>
      </c>
      <c r="P133" s="26">
        <v>95327.267369570502</v>
      </c>
      <c r="Q133" s="26">
        <v>95327.267369570502</v>
      </c>
      <c r="R133" s="26">
        <v>95327.267369570502</v>
      </c>
      <c r="S133" s="26">
        <v>95327.267369570502</v>
      </c>
      <c r="T133" s="26">
        <v>95327.267369570502</v>
      </c>
      <c r="U133" s="26">
        <v>95327.267369570502</v>
      </c>
      <c r="V133" s="26">
        <v>95327.267369570502</v>
      </c>
      <c r="W133" s="26">
        <v>95327.267369570502</v>
      </c>
      <c r="X133" s="139"/>
      <c r="Z133" s="139"/>
      <c r="AA133" s="139"/>
      <c r="AB133" s="139"/>
      <c r="AC133" s="139"/>
      <c r="AD133" s="139"/>
      <c r="AE133" s="139"/>
      <c r="AF133" s="139"/>
      <c r="AG133" s="139"/>
      <c r="AH133" s="139"/>
      <c r="AI133" s="139"/>
    </row>
    <row r="134" spans="1:46" x14ac:dyDescent="0.35">
      <c r="A134" s="12" t="str">
        <v xml:space="preserve">International incoming fixed telephone traffic </v>
      </c>
      <c r="D134" s="26">
        <v>12531.55420915498</v>
      </c>
      <c r="E134" s="26">
        <v>5491.9449738155454</v>
      </c>
      <c r="F134" s="26">
        <v>3584.0518075713721</v>
      </c>
      <c r="G134" s="26">
        <v>1567.6592236798199</v>
      </c>
      <c r="H134" s="26">
        <v>1567.6592236798199</v>
      </c>
      <c r="I134" s="26">
        <v>1567.6592236798199</v>
      </c>
      <c r="J134" s="26">
        <v>1567.6592236798199</v>
      </c>
      <c r="K134" s="26">
        <v>1567.6592236798199</v>
      </c>
      <c r="L134" s="26">
        <v>1567.6592236798199</v>
      </c>
      <c r="M134" s="26">
        <v>1567.6592236798199</v>
      </c>
      <c r="N134" s="26">
        <v>1567.6592236798199</v>
      </c>
      <c r="O134" s="26">
        <v>1567.6592236798199</v>
      </c>
      <c r="P134" s="26">
        <v>1567.6592236798199</v>
      </c>
      <c r="Q134" s="26">
        <v>1567.6592236798199</v>
      </c>
      <c r="R134" s="26">
        <v>1567.6592236798199</v>
      </c>
      <c r="S134" s="26">
        <v>1567.6592236798199</v>
      </c>
      <c r="T134" s="26">
        <v>1567.6592236798199</v>
      </c>
      <c r="U134" s="26">
        <v>1567.6592236798199</v>
      </c>
      <c r="V134" s="26">
        <v>1567.6592236798199</v>
      </c>
      <c r="W134" s="26">
        <v>1567.6592236798199</v>
      </c>
    </row>
    <row r="135" spans="1:46" x14ac:dyDescent="0.35">
      <c r="A135" s="12" t="str">
        <v>International outgoing fixed telephone traffic</v>
      </c>
      <c r="D135" s="26">
        <v>12381.036191396737</v>
      </c>
      <c r="E135" s="26">
        <v>2772.6092780494805</v>
      </c>
      <c r="F135" s="26">
        <v>2835.126535506095</v>
      </c>
      <c r="G135" s="26">
        <v>2255.6373777767526</v>
      </c>
      <c r="H135" s="26">
        <v>2255.6373777767526</v>
      </c>
      <c r="I135" s="26">
        <v>2255.6373777767526</v>
      </c>
      <c r="J135" s="26">
        <v>2255.6373777767526</v>
      </c>
      <c r="K135" s="26">
        <v>2255.6373777767526</v>
      </c>
      <c r="L135" s="26">
        <v>2255.6373777767526</v>
      </c>
      <c r="M135" s="26">
        <v>2255.6373777767526</v>
      </c>
      <c r="N135" s="26">
        <v>2255.6373777767526</v>
      </c>
      <c r="O135" s="26">
        <v>2255.6373777767526</v>
      </c>
      <c r="P135" s="26">
        <v>2255.6373777767526</v>
      </c>
      <c r="Q135" s="26">
        <v>2255.6373777767526</v>
      </c>
      <c r="R135" s="26">
        <v>2255.6373777767526</v>
      </c>
      <c r="S135" s="26">
        <v>2255.6373777767526</v>
      </c>
      <c r="T135" s="26">
        <v>2255.6373777767526</v>
      </c>
      <c r="U135" s="26">
        <v>2255.6373777767526</v>
      </c>
      <c r="V135" s="26">
        <v>2255.6373777767526</v>
      </c>
      <c r="W135" s="26">
        <v>2255.6373777767526</v>
      </c>
    </row>
    <row r="136" spans="1:46" x14ac:dyDescent="0.35">
      <c r="D136" s="75"/>
      <c r="E136" s="75"/>
      <c r="F136" s="75"/>
      <c r="G136" s="75"/>
      <c r="H136" s="75"/>
      <c r="I136" s="75"/>
      <c r="J136" s="75"/>
      <c r="K136" s="75"/>
      <c r="L136" s="75"/>
      <c r="M136" s="75"/>
      <c r="N136" s="75"/>
      <c r="O136" s="75"/>
      <c r="P136" s="75"/>
      <c r="Q136" s="75"/>
      <c r="R136" s="75"/>
      <c r="S136" s="75"/>
      <c r="T136" s="75"/>
      <c r="U136" s="75"/>
      <c r="V136" s="75"/>
      <c r="W136" s="75"/>
    </row>
    <row r="137" spans="1:46" x14ac:dyDescent="0.35">
      <c r="A137" s="12" t="s">
        <v>99</v>
      </c>
      <c r="D137" s="4">
        <f>SUM(D129:D135)</f>
        <v>685287.55334330606</v>
      </c>
      <c r="E137" s="4">
        <f t="shared" ref="E137:W137" si="16">SUM(E129:E135)</f>
        <v>548811.68208977068</v>
      </c>
      <c r="F137" s="4">
        <f t="shared" si="16"/>
        <v>547763.4646096736</v>
      </c>
      <c r="G137" s="4">
        <f t="shared" si="16"/>
        <v>499627.56284115219</v>
      </c>
      <c r="H137" s="4">
        <f t="shared" si="16"/>
        <v>499627.56284115219</v>
      </c>
      <c r="I137" s="4">
        <f t="shared" si="16"/>
        <v>499627.56284115219</v>
      </c>
      <c r="J137" s="4">
        <f t="shared" si="16"/>
        <v>499627.56284115219</v>
      </c>
      <c r="K137" s="4">
        <f t="shared" si="16"/>
        <v>499627.56284115219</v>
      </c>
      <c r="L137" s="4">
        <f t="shared" si="16"/>
        <v>499627.56284115219</v>
      </c>
      <c r="M137" s="4">
        <f t="shared" si="16"/>
        <v>499627.56284115219</v>
      </c>
      <c r="N137" s="4">
        <f t="shared" si="16"/>
        <v>499627.56284115219</v>
      </c>
      <c r="O137" s="4">
        <f t="shared" si="16"/>
        <v>499627.56284115219</v>
      </c>
      <c r="P137" s="4">
        <f t="shared" si="16"/>
        <v>499627.56284115219</v>
      </c>
      <c r="Q137" s="4">
        <f t="shared" si="16"/>
        <v>499627.56284115219</v>
      </c>
      <c r="R137" s="4">
        <f t="shared" si="16"/>
        <v>499627.56284115219</v>
      </c>
      <c r="S137" s="4">
        <f t="shared" si="16"/>
        <v>499627.56284115219</v>
      </c>
      <c r="T137" s="4">
        <f t="shared" si="16"/>
        <v>499627.56284115219</v>
      </c>
      <c r="U137" s="4">
        <f t="shared" si="16"/>
        <v>499627.56284115219</v>
      </c>
      <c r="V137" s="4">
        <f t="shared" si="16"/>
        <v>499627.56284115219</v>
      </c>
      <c r="W137" s="4">
        <f t="shared" si="16"/>
        <v>499627.56284115219</v>
      </c>
      <c r="X137" s="15" t="s">
        <v>107</v>
      </c>
      <c r="Z137" s="171" cm="1">
        <f t="array" ref="Z137:AS137">D137:W137-D130:W130-D133:W133-D134:W134</f>
        <v>506187.12624427292</v>
      </c>
      <c r="AA137" s="171">
        <v>386793.64313352661</v>
      </c>
      <c r="AB137" s="171">
        <v>380186.19394977367</v>
      </c>
      <c r="AC137" s="171">
        <v>348119.85003634921</v>
      </c>
      <c r="AD137" s="171">
        <v>348119.85003634921</v>
      </c>
      <c r="AE137" s="171">
        <v>348119.85003634921</v>
      </c>
      <c r="AF137" s="171">
        <v>348119.85003634921</v>
      </c>
      <c r="AG137" s="171">
        <v>348119.85003634921</v>
      </c>
      <c r="AH137" s="171">
        <v>348119.85003634921</v>
      </c>
      <c r="AI137" s="171">
        <v>348119.85003634921</v>
      </c>
      <c r="AJ137" s="171">
        <v>348119.85003634921</v>
      </c>
      <c r="AK137" s="171">
        <v>348119.85003634921</v>
      </c>
      <c r="AL137" s="171">
        <v>348119.85003634921</v>
      </c>
      <c r="AM137" s="171">
        <v>348119.85003634921</v>
      </c>
      <c r="AN137" s="171">
        <v>348119.85003634921</v>
      </c>
      <c r="AO137" s="171">
        <v>348119.85003634921</v>
      </c>
      <c r="AP137" s="171">
        <v>348119.85003634921</v>
      </c>
      <c r="AQ137" s="171">
        <v>348119.85003634921</v>
      </c>
      <c r="AR137" s="171">
        <v>348119.85003634921</v>
      </c>
      <c r="AS137" s="171">
        <v>348119.85003634921</v>
      </c>
      <c r="AT137" s="15" t="s">
        <v>108</v>
      </c>
    </row>
    <row r="140" spans="1:46" x14ac:dyDescent="0.35">
      <c r="A140" s="48" t="s">
        <v>437</v>
      </c>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row>
    <row r="141" spans="1:46" x14ac:dyDescent="0.35">
      <c r="A141" s="2"/>
    </row>
    <row r="142" spans="1:46" x14ac:dyDescent="0.35">
      <c r="A142" s="12" t="s">
        <v>109</v>
      </c>
      <c r="D142" s="48" t="s">
        <v>97</v>
      </c>
      <c r="E142" s="49"/>
      <c r="F142" s="49"/>
      <c r="G142" s="49"/>
      <c r="H142" s="49"/>
      <c r="I142" s="49"/>
      <c r="J142" s="49"/>
      <c r="K142" s="49"/>
      <c r="L142" s="49"/>
      <c r="M142" s="49"/>
      <c r="N142" s="49"/>
      <c r="O142" s="49"/>
      <c r="P142" s="49"/>
      <c r="Q142" s="49"/>
      <c r="R142" s="49"/>
      <c r="S142" s="49"/>
      <c r="T142" s="49"/>
      <c r="U142" s="49"/>
      <c r="V142" s="49"/>
      <c r="W142" s="49"/>
      <c r="Z142" s="48" t="s">
        <v>87</v>
      </c>
      <c r="AA142" s="49"/>
      <c r="AB142" s="49"/>
      <c r="AC142" s="49"/>
      <c r="AD142" s="49"/>
      <c r="AE142" s="49"/>
      <c r="AF142" s="49"/>
      <c r="AG142" s="49"/>
      <c r="AH142" s="49"/>
      <c r="AI142" s="49"/>
      <c r="AJ142" s="49"/>
      <c r="AK142" s="49"/>
      <c r="AL142" s="49"/>
      <c r="AM142" s="49"/>
      <c r="AN142" s="49"/>
      <c r="AO142" s="49"/>
      <c r="AP142" s="49"/>
      <c r="AQ142" s="49"/>
      <c r="AR142" s="49"/>
      <c r="AS142" s="49"/>
    </row>
    <row r="143" spans="1:46" x14ac:dyDescent="0.35">
      <c r="D143" s="52" cm="1">
        <f t="array" ref="D143:W143">years</f>
        <v>2018</v>
      </c>
      <c r="E143" s="52">
        <v>2019</v>
      </c>
      <c r="F143" s="52">
        <v>2020</v>
      </c>
      <c r="G143" s="52">
        <v>2021</v>
      </c>
      <c r="H143" s="52">
        <v>2022</v>
      </c>
      <c r="I143" s="52">
        <v>2023</v>
      </c>
      <c r="J143" s="52">
        <v>2024</v>
      </c>
      <c r="K143" s="52">
        <v>2025</v>
      </c>
      <c r="L143" s="52">
        <v>2026</v>
      </c>
      <c r="M143" s="52">
        <v>2027</v>
      </c>
      <c r="N143" s="52">
        <v>2028</v>
      </c>
      <c r="O143" s="52">
        <v>2029</v>
      </c>
      <c r="P143" s="52">
        <v>2030</v>
      </c>
      <c r="Q143" s="52">
        <v>2031</v>
      </c>
      <c r="R143" s="52">
        <v>2032</v>
      </c>
      <c r="S143" s="52">
        <v>2033</v>
      </c>
      <c r="T143" s="52">
        <v>2034</v>
      </c>
      <c r="U143" s="52">
        <v>2035</v>
      </c>
      <c r="V143" s="52">
        <v>2036</v>
      </c>
      <c r="W143" s="52">
        <v>2037</v>
      </c>
      <c r="Z143" s="52" cm="1">
        <f t="array" ref="Z143:AS143">years</f>
        <v>2018</v>
      </c>
      <c r="AA143" s="52">
        <v>2019</v>
      </c>
      <c r="AB143" s="52">
        <v>2020</v>
      </c>
      <c r="AC143" s="52">
        <v>2021</v>
      </c>
      <c r="AD143" s="52">
        <v>2022</v>
      </c>
      <c r="AE143" s="52">
        <v>2023</v>
      </c>
      <c r="AF143" s="52">
        <v>2024</v>
      </c>
      <c r="AG143" s="52">
        <v>2025</v>
      </c>
      <c r="AH143" s="52">
        <v>2026</v>
      </c>
      <c r="AI143" s="52">
        <v>2027</v>
      </c>
      <c r="AJ143" s="52">
        <v>2028</v>
      </c>
      <c r="AK143" s="52">
        <v>2029</v>
      </c>
      <c r="AL143" s="52">
        <v>2030</v>
      </c>
      <c r="AM143" s="52">
        <v>2031</v>
      </c>
      <c r="AN143" s="52">
        <v>2032</v>
      </c>
      <c r="AO143" s="52">
        <v>2033</v>
      </c>
      <c r="AP143" s="52">
        <v>2034</v>
      </c>
      <c r="AQ143" s="52">
        <v>2035</v>
      </c>
      <c r="AR143" s="52">
        <v>2036</v>
      </c>
      <c r="AS143" s="52">
        <v>2037</v>
      </c>
    </row>
    <row r="144" spans="1:46" x14ac:dyDescent="0.35">
      <c r="A144" s="12" t="str" cm="1">
        <f t="array" ref="A144:A150">fixed_services</f>
        <v>On-net fixed to fixed traffic</v>
      </c>
      <c r="D144" s="26" cm="1">
        <f t="array" ref="D144:W150">fixed_minutes_busy_hour/sec_minute</f>
        <v>8523.4039471153847</v>
      </c>
      <c r="E144" s="26">
        <v>7169.3577490384623</v>
      </c>
      <c r="F144" s="26">
        <v>6231.201380769231</v>
      </c>
      <c r="G144" s="26">
        <v>5518.0267673076924</v>
      </c>
      <c r="H144" s="26">
        <v>5518.0267673076924</v>
      </c>
      <c r="I144" s="26">
        <v>5518.0267673076924</v>
      </c>
      <c r="J144" s="26">
        <v>5518.0267673076924</v>
      </c>
      <c r="K144" s="26">
        <v>5518.0267673076924</v>
      </c>
      <c r="L144" s="26">
        <v>5518.0267673076924</v>
      </c>
      <c r="M144" s="26">
        <v>5518.0267673076924</v>
      </c>
      <c r="N144" s="26">
        <v>5518.0267673076924</v>
      </c>
      <c r="O144" s="26">
        <v>5518.0267673076924</v>
      </c>
      <c r="P144" s="26">
        <v>5518.0267673076924</v>
      </c>
      <c r="Q144" s="26">
        <v>5518.0267673076924</v>
      </c>
      <c r="R144" s="26">
        <v>5518.0267673076924</v>
      </c>
      <c r="S144" s="26">
        <v>5518.0267673076924</v>
      </c>
      <c r="T144" s="26">
        <v>5518.0267673076924</v>
      </c>
      <c r="U144" s="26">
        <v>5518.0267673076924</v>
      </c>
      <c r="V144" s="26">
        <v>5518.0267673076924</v>
      </c>
      <c r="W144" s="26">
        <v>5518.0267673076924</v>
      </c>
    </row>
    <row r="145" spans="1:46" x14ac:dyDescent="0.35">
      <c r="A145" s="12" t="str">
        <v>Incoming fixed to fixed traffic</v>
      </c>
      <c r="D145" s="26">
        <v>5682.2692980769234</v>
      </c>
      <c r="E145" s="26">
        <v>4779.5718326923079</v>
      </c>
      <c r="F145" s="26">
        <v>4154.134253846154</v>
      </c>
      <c r="G145" s="26">
        <v>3678.6845115384617</v>
      </c>
      <c r="H145" s="26">
        <v>3678.6845115384617</v>
      </c>
      <c r="I145" s="26">
        <v>3678.6845115384617</v>
      </c>
      <c r="J145" s="26">
        <v>3678.6845115384617</v>
      </c>
      <c r="K145" s="26">
        <v>3678.6845115384617</v>
      </c>
      <c r="L145" s="26">
        <v>3678.6845115384617</v>
      </c>
      <c r="M145" s="26">
        <v>3678.6845115384617</v>
      </c>
      <c r="N145" s="26">
        <v>3678.6845115384617</v>
      </c>
      <c r="O145" s="26">
        <v>3678.6845115384617</v>
      </c>
      <c r="P145" s="26">
        <v>3678.6845115384617</v>
      </c>
      <c r="Q145" s="26">
        <v>3678.6845115384617</v>
      </c>
      <c r="R145" s="26">
        <v>3678.6845115384617</v>
      </c>
      <c r="S145" s="26">
        <v>3678.6845115384617</v>
      </c>
      <c r="T145" s="26">
        <v>3678.6845115384617</v>
      </c>
      <c r="U145" s="26">
        <v>3678.6845115384617</v>
      </c>
      <c r="V145" s="26">
        <v>3678.6845115384617</v>
      </c>
      <c r="W145" s="26">
        <v>3678.6845115384617</v>
      </c>
    </row>
    <row r="146" spans="1:46" x14ac:dyDescent="0.35">
      <c r="A146" s="12" t="str">
        <v>Off-net fixed to fixed traffic</v>
      </c>
      <c r="D146" s="26">
        <v>5682.2692980769234</v>
      </c>
      <c r="E146" s="26">
        <v>4779.5718326923079</v>
      </c>
      <c r="F146" s="26">
        <v>4154.134253846154</v>
      </c>
      <c r="G146" s="26">
        <v>3678.6845115384617</v>
      </c>
      <c r="H146" s="26">
        <v>3678.6845115384617</v>
      </c>
      <c r="I146" s="26">
        <v>3678.6845115384617</v>
      </c>
      <c r="J146" s="26">
        <v>3678.6845115384617</v>
      </c>
      <c r="K146" s="26">
        <v>3678.6845115384617</v>
      </c>
      <c r="L146" s="26">
        <v>3678.6845115384617</v>
      </c>
      <c r="M146" s="26">
        <v>3678.6845115384617</v>
      </c>
      <c r="N146" s="26">
        <v>3678.6845115384617</v>
      </c>
      <c r="O146" s="26">
        <v>3678.6845115384617</v>
      </c>
      <c r="P146" s="26">
        <v>3678.6845115384617</v>
      </c>
      <c r="Q146" s="26">
        <v>3678.6845115384617</v>
      </c>
      <c r="R146" s="26">
        <v>3678.6845115384617</v>
      </c>
      <c r="S146" s="26">
        <v>3678.6845115384617</v>
      </c>
      <c r="T146" s="26">
        <v>3678.6845115384617</v>
      </c>
      <c r="U146" s="26">
        <v>3678.6845115384617</v>
      </c>
      <c r="V146" s="26">
        <v>3678.6845115384617</v>
      </c>
      <c r="W146" s="26">
        <v>3678.6845115384617</v>
      </c>
    </row>
    <row r="147" spans="1:46" x14ac:dyDescent="0.35">
      <c r="A147" s="12" t="str">
        <v>Fixed to Mobile Telephone traffic</v>
      </c>
      <c r="D147" s="26">
        <v>19056.808697115386</v>
      </c>
      <c r="E147" s="26">
        <v>13918.496846153846</v>
      </c>
      <c r="F147" s="26">
        <v>15032.805855769231</v>
      </c>
      <c r="G147" s="26">
        <v>14100.494567307693</v>
      </c>
      <c r="H147" s="26">
        <v>14100.494567307693</v>
      </c>
      <c r="I147" s="26">
        <v>14100.494567307693</v>
      </c>
      <c r="J147" s="26">
        <v>14100.494567307693</v>
      </c>
      <c r="K147" s="26">
        <v>14100.494567307693</v>
      </c>
      <c r="L147" s="26">
        <v>14100.494567307693</v>
      </c>
      <c r="M147" s="26">
        <v>14100.494567307693</v>
      </c>
      <c r="N147" s="26">
        <v>14100.494567307693</v>
      </c>
      <c r="O147" s="26">
        <v>14100.494567307693</v>
      </c>
      <c r="P147" s="26">
        <v>14100.494567307693</v>
      </c>
      <c r="Q147" s="26">
        <v>14100.494567307693</v>
      </c>
      <c r="R147" s="26">
        <v>14100.494567307693</v>
      </c>
      <c r="S147" s="26">
        <v>14100.494567307693</v>
      </c>
      <c r="T147" s="26">
        <v>14100.494567307693</v>
      </c>
      <c r="U147" s="26">
        <v>14100.494567307693</v>
      </c>
      <c r="V147" s="26">
        <v>14100.494567307693</v>
      </c>
      <c r="W147" s="26">
        <v>14100.494567307693</v>
      </c>
    </row>
    <row r="148" spans="1:46" x14ac:dyDescent="0.35">
      <c r="A148" s="12" t="str">
        <v>Outgoing mobile traffic to fixed networks</v>
      </c>
      <c r="D148" s="26">
        <v>5537.7100384615387</v>
      </c>
      <c r="E148" s="26">
        <v>5763.9319423076931</v>
      </c>
      <c r="F148" s="26">
        <v>6892.3505721153842</v>
      </c>
      <c r="G148" s="26">
        <v>6421.1875336538469</v>
      </c>
      <c r="H148" s="26">
        <v>6421.1875336538469</v>
      </c>
      <c r="I148" s="26">
        <v>6421.1875336538469</v>
      </c>
      <c r="J148" s="26">
        <v>6421.1875336538469</v>
      </c>
      <c r="K148" s="26">
        <v>6421.1875336538469</v>
      </c>
      <c r="L148" s="26">
        <v>6421.1875336538469</v>
      </c>
      <c r="M148" s="26">
        <v>6421.1875336538469</v>
      </c>
      <c r="N148" s="26">
        <v>6421.1875336538469</v>
      </c>
      <c r="O148" s="26">
        <v>6421.1875336538469</v>
      </c>
      <c r="P148" s="26">
        <v>6421.1875336538469</v>
      </c>
      <c r="Q148" s="26">
        <v>6421.1875336538469</v>
      </c>
      <c r="R148" s="26">
        <v>6421.1875336538469</v>
      </c>
      <c r="S148" s="26">
        <v>6421.1875336538469</v>
      </c>
      <c r="T148" s="26">
        <v>6421.1875336538469</v>
      </c>
      <c r="U148" s="26">
        <v>6421.1875336538469</v>
      </c>
      <c r="V148" s="26">
        <v>6421.1875336538469</v>
      </c>
      <c r="W148" s="26">
        <v>6421.1875336538469</v>
      </c>
    </row>
    <row r="149" spans="1:46" x14ac:dyDescent="0.35">
      <c r="A149" s="12" t="str">
        <v xml:space="preserve">International incoming fixed telephone traffic </v>
      </c>
      <c r="D149" s="26">
        <v>844.11797259615389</v>
      </c>
      <c r="E149" s="26">
        <v>369.93411826923079</v>
      </c>
      <c r="F149" s="26">
        <v>241.4195793269231</v>
      </c>
      <c r="G149" s="26">
        <v>105.59658471153847</v>
      </c>
      <c r="H149" s="26">
        <v>105.59658471153847</v>
      </c>
      <c r="I149" s="26">
        <v>105.59658471153847</v>
      </c>
      <c r="J149" s="26">
        <v>105.59658471153847</v>
      </c>
      <c r="K149" s="26">
        <v>105.59658471153847</v>
      </c>
      <c r="L149" s="26">
        <v>105.59658471153847</v>
      </c>
      <c r="M149" s="26">
        <v>105.59658471153847</v>
      </c>
      <c r="N149" s="26">
        <v>105.59658471153847</v>
      </c>
      <c r="O149" s="26">
        <v>105.59658471153847</v>
      </c>
      <c r="P149" s="26">
        <v>105.59658471153847</v>
      </c>
      <c r="Q149" s="26">
        <v>105.59658471153847</v>
      </c>
      <c r="R149" s="26">
        <v>105.59658471153847</v>
      </c>
      <c r="S149" s="26">
        <v>105.59658471153847</v>
      </c>
      <c r="T149" s="26">
        <v>105.59658471153847</v>
      </c>
      <c r="U149" s="26">
        <v>105.59658471153847</v>
      </c>
      <c r="V149" s="26">
        <v>105.59658471153847</v>
      </c>
      <c r="W149" s="26">
        <v>105.59658471153847</v>
      </c>
    </row>
    <row r="150" spans="1:46" x14ac:dyDescent="0.35">
      <c r="A150" s="12" t="str">
        <v>International outgoing fixed telephone traffic</v>
      </c>
      <c r="D150" s="26">
        <v>833.97916923076934</v>
      </c>
      <c r="E150" s="26">
        <v>186.76129740384616</v>
      </c>
      <c r="F150" s="26">
        <v>190.97242235576923</v>
      </c>
      <c r="G150" s="26">
        <v>151.93838038461539</v>
      </c>
      <c r="H150" s="26">
        <v>151.93838038461539</v>
      </c>
      <c r="I150" s="26">
        <v>151.93838038461539</v>
      </c>
      <c r="J150" s="26">
        <v>151.93838038461539</v>
      </c>
      <c r="K150" s="26">
        <v>151.93838038461539</v>
      </c>
      <c r="L150" s="26">
        <v>151.93838038461539</v>
      </c>
      <c r="M150" s="26">
        <v>151.93838038461539</v>
      </c>
      <c r="N150" s="26">
        <v>151.93838038461539</v>
      </c>
      <c r="O150" s="26">
        <v>151.93838038461539</v>
      </c>
      <c r="P150" s="26">
        <v>151.93838038461539</v>
      </c>
      <c r="Q150" s="26">
        <v>151.93838038461539</v>
      </c>
      <c r="R150" s="26">
        <v>151.93838038461539</v>
      </c>
      <c r="S150" s="26">
        <v>151.93838038461539</v>
      </c>
      <c r="T150" s="26">
        <v>151.93838038461539</v>
      </c>
      <c r="U150" s="26">
        <v>151.93838038461539</v>
      </c>
      <c r="V150" s="26">
        <v>151.93838038461539</v>
      </c>
      <c r="W150" s="26">
        <v>151.93838038461539</v>
      </c>
      <c r="X150" s="15"/>
    </row>
    <row r="151" spans="1:46" x14ac:dyDescent="0.35">
      <c r="D151" s="75"/>
      <c r="E151" s="75"/>
      <c r="F151" s="75"/>
      <c r="G151" s="75"/>
      <c r="H151" s="75"/>
      <c r="I151" s="75"/>
      <c r="J151" s="75"/>
      <c r="K151" s="75"/>
      <c r="L151" s="75"/>
      <c r="M151" s="75"/>
      <c r="N151" s="75"/>
      <c r="O151" s="75"/>
      <c r="P151" s="75"/>
      <c r="Q151" s="75"/>
      <c r="R151" s="75"/>
      <c r="S151" s="75"/>
      <c r="T151" s="75"/>
      <c r="U151" s="75"/>
      <c r="V151" s="75"/>
      <c r="W151" s="75"/>
      <c r="X151" s="15"/>
    </row>
    <row r="152" spans="1:46" x14ac:dyDescent="0.35">
      <c r="A152" s="12" t="s">
        <v>110</v>
      </c>
      <c r="D152" s="10">
        <f>SUM(D144:D150)</f>
        <v>46160.558420673085</v>
      </c>
      <c r="E152" s="10">
        <f t="shared" ref="E152:W152" si="17">SUM(E144:E150)</f>
        <v>36967.6256185577</v>
      </c>
      <c r="F152" s="10">
        <f t="shared" si="17"/>
        <v>36897.018318028851</v>
      </c>
      <c r="G152" s="10">
        <f t="shared" si="17"/>
        <v>33654.612856442305</v>
      </c>
      <c r="H152" s="10">
        <f t="shared" si="17"/>
        <v>33654.612856442305</v>
      </c>
      <c r="I152" s="10">
        <f t="shared" si="17"/>
        <v>33654.612856442305</v>
      </c>
      <c r="J152" s="10">
        <f t="shared" si="17"/>
        <v>33654.612856442305</v>
      </c>
      <c r="K152" s="10">
        <f t="shared" si="17"/>
        <v>33654.612856442305</v>
      </c>
      <c r="L152" s="10">
        <f t="shared" si="17"/>
        <v>33654.612856442305</v>
      </c>
      <c r="M152" s="10">
        <f t="shared" si="17"/>
        <v>33654.612856442305</v>
      </c>
      <c r="N152" s="10">
        <f t="shared" si="17"/>
        <v>33654.612856442305</v>
      </c>
      <c r="O152" s="10">
        <f t="shared" si="17"/>
        <v>33654.612856442305</v>
      </c>
      <c r="P152" s="10">
        <f t="shared" si="17"/>
        <v>33654.612856442305</v>
      </c>
      <c r="Q152" s="10">
        <f t="shared" si="17"/>
        <v>33654.612856442305</v>
      </c>
      <c r="R152" s="10">
        <f t="shared" si="17"/>
        <v>33654.612856442305</v>
      </c>
      <c r="S152" s="10">
        <f t="shared" si="17"/>
        <v>33654.612856442305</v>
      </c>
      <c r="T152" s="10">
        <f t="shared" si="17"/>
        <v>33654.612856442305</v>
      </c>
      <c r="U152" s="10">
        <f t="shared" si="17"/>
        <v>33654.612856442305</v>
      </c>
      <c r="V152" s="10">
        <f t="shared" si="17"/>
        <v>33654.612856442305</v>
      </c>
      <c r="W152" s="10">
        <f t="shared" si="17"/>
        <v>33654.612856442305</v>
      </c>
      <c r="X152" s="15" t="s">
        <v>111</v>
      </c>
      <c r="Z152" s="171" cm="1">
        <f t="array" ref="Z152:AS152">D152:W152-D145:W145-D148:W148-D149:W149</f>
        <v>34096.461111538469</v>
      </c>
      <c r="AA152" s="171">
        <v>26054.18772528847</v>
      </c>
      <c r="AB152" s="171">
        <v>25609.113912740388</v>
      </c>
      <c r="AC152" s="171">
        <v>23449.144226538461</v>
      </c>
      <c r="AD152" s="171">
        <v>23449.144226538461</v>
      </c>
      <c r="AE152" s="171">
        <v>23449.144226538461</v>
      </c>
      <c r="AF152" s="171">
        <v>23449.144226538461</v>
      </c>
      <c r="AG152" s="171">
        <v>23449.144226538461</v>
      </c>
      <c r="AH152" s="171">
        <v>23449.144226538461</v>
      </c>
      <c r="AI152" s="171">
        <v>23449.144226538461</v>
      </c>
      <c r="AJ152" s="171">
        <v>23449.144226538461</v>
      </c>
      <c r="AK152" s="171">
        <v>23449.144226538461</v>
      </c>
      <c r="AL152" s="171">
        <v>23449.144226538461</v>
      </c>
      <c r="AM152" s="171">
        <v>23449.144226538461</v>
      </c>
      <c r="AN152" s="171">
        <v>23449.144226538461</v>
      </c>
      <c r="AO152" s="171">
        <v>23449.144226538461</v>
      </c>
      <c r="AP152" s="171">
        <v>23449.144226538461</v>
      </c>
      <c r="AQ152" s="171">
        <v>23449.144226538461</v>
      </c>
      <c r="AR152" s="171">
        <v>23449.144226538461</v>
      </c>
      <c r="AS152" s="171">
        <v>23449.144226538461</v>
      </c>
      <c r="AT152" s="15" t="s">
        <v>112</v>
      </c>
    </row>
    <row r="153" spans="1:46" x14ac:dyDescent="0.35">
      <c r="D153" s="75"/>
      <c r="E153" s="75"/>
      <c r="F153" s="75"/>
      <c r="G153" s="75"/>
      <c r="H153" s="75"/>
      <c r="I153" s="75"/>
      <c r="J153" s="75"/>
      <c r="K153" s="75"/>
      <c r="L153" s="75"/>
      <c r="M153" s="75"/>
      <c r="N153" s="75"/>
      <c r="O153" s="75"/>
      <c r="P153" s="75"/>
      <c r="Q153" s="75"/>
      <c r="R153" s="75"/>
      <c r="S153" s="75"/>
      <c r="T153" s="75"/>
      <c r="U153" s="75"/>
      <c r="V153" s="75"/>
      <c r="W153" s="75"/>
      <c r="X153" s="15"/>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5"/>
    </row>
    <row r="154" spans="1:46" x14ac:dyDescent="0.35">
      <c r="A154" s="12" t="s">
        <v>113</v>
      </c>
      <c r="D154" s="48" t="s">
        <v>97</v>
      </c>
      <c r="E154" s="49"/>
      <c r="F154" s="49"/>
      <c r="G154" s="49"/>
      <c r="H154" s="49"/>
      <c r="I154" s="49"/>
      <c r="J154" s="49"/>
      <c r="K154" s="49"/>
      <c r="L154" s="49"/>
      <c r="M154" s="49"/>
      <c r="N154" s="49"/>
      <c r="O154" s="49"/>
      <c r="P154" s="49"/>
      <c r="Q154" s="49"/>
      <c r="R154" s="49"/>
      <c r="S154" s="49"/>
      <c r="T154" s="49"/>
      <c r="U154" s="49"/>
      <c r="V154" s="49"/>
      <c r="W154" s="49"/>
      <c r="Z154" s="48" t="s">
        <v>87</v>
      </c>
      <c r="AA154" s="49"/>
      <c r="AB154" s="49"/>
      <c r="AC154" s="49"/>
      <c r="AD154" s="49"/>
      <c r="AE154" s="49"/>
      <c r="AF154" s="49"/>
      <c r="AG154" s="49"/>
      <c r="AH154" s="49"/>
      <c r="AI154" s="49"/>
      <c r="AJ154" s="49"/>
      <c r="AK154" s="49"/>
      <c r="AL154" s="49"/>
      <c r="AM154" s="49"/>
      <c r="AN154" s="49"/>
      <c r="AO154" s="49"/>
      <c r="AP154" s="49"/>
      <c r="AQ154" s="49"/>
      <c r="AR154" s="49"/>
      <c r="AS154" s="49"/>
    </row>
    <row r="155" spans="1:46" x14ac:dyDescent="0.35">
      <c r="D155" s="52" cm="1">
        <f t="array" ref="D155:W155">years</f>
        <v>2018</v>
      </c>
      <c r="E155" s="52">
        <v>2019</v>
      </c>
      <c r="F155" s="52">
        <v>2020</v>
      </c>
      <c r="G155" s="52">
        <v>2021</v>
      </c>
      <c r="H155" s="52">
        <v>2022</v>
      </c>
      <c r="I155" s="52">
        <v>2023</v>
      </c>
      <c r="J155" s="52">
        <v>2024</v>
      </c>
      <c r="K155" s="52">
        <v>2025</v>
      </c>
      <c r="L155" s="52">
        <v>2026</v>
      </c>
      <c r="M155" s="52">
        <v>2027</v>
      </c>
      <c r="N155" s="52">
        <v>2028</v>
      </c>
      <c r="O155" s="52">
        <v>2029</v>
      </c>
      <c r="P155" s="52">
        <v>2030</v>
      </c>
      <c r="Q155" s="52">
        <v>2031</v>
      </c>
      <c r="R155" s="52">
        <v>2032</v>
      </c>
      <c r="S155" s="52">
        <v>2033</v>
      </c>
      <c r="T155" s="52">
        <v>2034</v>
      </c>
      <c r="U155" s="52">
        <v>2035</v>
      </c>
      <c r="V155" s="52">
        <v>2036</v>
      </c>
      <c r="W155" s="52">
        <v>2037</v>
      </c>
      <c r="Z155" s="52" cm="1">
        <f t="array" ref="Z155:AS155">years</f>
        <v>2018</v>
      </c>
      <c r="AA155" s="52">
        <v>2019</v>
      </c>
      <c r="AB155" s="52">
        <v>2020</v>
      </c>
      <c r="AC155" s="52">
        <v>2021</v>
      </c>
      <c r="AD155" s="52">
        <v>2022</v>
      </c>
      <c r="AE155" s="52">
        <v>2023</v>
      </c>
      <c r="AF155" s="52">
        <v>2024</v>
      </c>
      <c r="AG155" s="52">
        <v>2025</v>
      </c>
      <c r="AH155" s="52">
        <v>2026</v>
      </c>
      <c r="AI155" s="52">
        <v>2027</v>
      </c>
      <c r="AJ155" s="52">
        <v>2028</v>
      </c>
      <c r="AK155" s="52">
        <v>2029</v>
      </c>
      <c r="AL155" s="52">
        <v>2030</v>
      </c>
      <c r="AM155" s="52">
        <v>2031</v>
      </c>
      <c r="AN155" s="52">
        <v>2032</v>
      </c>
      <c r="AO155" s="52">
        <v>2033</v>
      </c>
      <c r="AP155" s="52">
        <v>2034</v>
      </c>
      <c r="AQ155" s="52">
        <v>2035</v>
      </c>
      <c r="AR155" s="52">
        <v>2036</v>
      </c>
      <c r="AS155" s="52">
        <v>2037</v>
      </c>
    </row>
    <row r="156" spans="1:46" x14ac:dyDescent="0.35">
      <c r="A156" s="12" t="str" cm="1">
        <f t="array" ref="A156:A162">fixed_services</f>
        <v>On-net fixed to fixed traffic</v>
      </c>
      <c r="D156" s="26" cm="1">
        <f t="array" ref="D156:W162">fixed_minutes_busy_hour_onnet_factor/sec_minute</f>
        <v>17046.807894230769</v>
      </c>
      <c r="E156" s="26">
        <v>14338.715498076925</v>
      </c>
      <c r="F156" s="26">
        <v>12462.402761538462</v>
      </c>
      <c r="G156" s="26">
        <v>11036.053534615385</v>
      </c>
      <c r="H156" s="26">
        <v>11036.053534615385</v>
      </c>
      <c r="I156" s="26">
        <v>11036.053534615385</v>
      </c>
      <c r="J156" s="26">
        <v>11036.053534615385</v>
      </c>
      <c r="K156" s="26">
        <v>11036.053534615385</v>
      </c>
      <c r="L156" s="26">
        <v>11036.053534615385</v>
      </c>
      <c r="M156" s="26">
        <v>11036.053534615385</v>
      </c>
      <c r="N156" s="26">
        <v>11036.053534615385</v>
      </c>
      <c r="O156" s="26">
        <v>11036.053534615385</v>
      </c>
      <c r="P156" s="26">
        <v>11036.053534615385</v>
      </c>
      <c r="Q156" s="26">
        <v>11036.053534615385</v>
      </c>
      <c r="R156" s="26">
        <v>11036.053534615385</v>
      </c>
      <c r="S156" s="26">
        <v>11036.053534615385</v>
      </c>
      <c r="T156" s="26">
        <v>11036.053534615385</v>
      </c>
      <c r="U156" s="26">
        <v>11036.053534615385</v>
      </c>
      <c r="V156" s="26">
        <v>11036.053534615385</v>
      </c>
      <c r="W156" s="26">
        <v>11036.053534615385</v>
      </c>
    </row>
    <row r="157" spans="1:46" x14ac:dyDescent="0.35">
      <c r="A157" s="12" t="str">
        <v>Incoming fixed to fixed traffic</v>
      </c>
      <c r="D157" s="26">
        <v>5682.2692980769234</v>
      </c>
      <c r="E157" s="26">
        <v>4779.5718326923079</v>
      </c>
      <c r="F157" s="26">
        <v>4154.134253846154</v>
      </c>
      <c r="G157" s="26">
        <v>3678.6845115384617</v>
      </c>
      <c r="H157" s="26">
        <v>3678.6845115384617</v>
      </c>
      <c r="I157" s="26">
        <v>3678.6845115384617</v>
      </c>
      <c r="J157" s="26">
        <v>3678.6845115384617</v>
      </c>
      <c r="K157" s="26">
        <v>3678.6845115384617</v>
      </c>
      <c r="L157" s="26">
        <v>3678.6845115384617</v>
      </c>
      <c r="M157" s="26">
        <v>3678.6845115384617</v>
      </c>
      <c r="N157" s="26">
        <v>3678.6845115384617</v>
      </c>
      <c r="O157" s="26">
        <v>3678.6845115384617</v>
      </c>
      <c r="P157" s="26">
        <v>3678.6845115384617</v>
      </c>
      <c r="Q157" s="26">
        <v>3678.6845115384617</v>
      </c>
      <c r="R157" s="26">
        <v>3678.6845115384617</v>
      </c>
      <c r="S157" s="26">
        <v>3678.6845115384617</v>
      </c>
      <c r="T157" s="26">
        <v>3678.6845115384617</v>
      </c>
      <c r="U157" s="26">
        <v>3678.6845115384617</v>
      </c>
      <c r="V157" s="26">
        <v>3678.6845115384617</v>
      </c>
      <c r="W157" s="26">
        <v>3678.6845115384617</v>
      </c>
    </row>
    <row r="158" spans="1:46" x14ac:dyDescent="0.35">
      <c r="A158" s="12" t="str">
        <v>Off-net fixed to fixed traffic</v>
      </c>
      <c r="D158" s="26">
        <v>5682.2692980769234</v>
      </c>
      <c r="E158" s="26">
        <v>4779.5718326923079</v>
      </c>
      <c r="F158" s="26">
        <v>4154.134253846154</v>
      </c>
      <c r="G158" s="26">
        <v>3678.6845115384617</v>
      </c>
      <c r="H158" s="26">
        <v>3678.6845115384617</v>
      </c>
      <c r="I158" s="26">
        <v>3678.6845115384617</v>
      </c>
      <c r="J158" s="26">
        <v>3678.6845115384617</v>
      </c>
      <c r="K158" s="26">
        <v>3678.6845115384617</v>
      </c>
      <c r="L158" s="26">
        <v>3678.6845115384617</v>
      </c>
      <c r="M158" s="26">
        <v>3678.6845115384617</v>
      </c>
      <c r="N158" s="26">
        <v>3678.6845115384617</v>
      </c>
      <c r="O158" s="26">
        <v>3678.6845115384617</v>
      </c>
      <c r="P158" s="26">
        <v>3678.6845115384617</v>
      </c>
      <c r="Q158" s="26">
        <v>3678.6845115384617</v>
      </c>
      <c r="R158" s="26">
        <v>3678.6845115384617</v>
      </c>
      <c r="S158" s="26">
        <v>3678.6845115384617</v>
      </c>
      <c r="T158" s="26">
        <v>3678.6845115384617</v>
      </c>
      <c r="U158" s="26">
        <v>3678.6845115384617</v>
      </c>
      <c r="V158" s="26">
        <v>3678.6845115384617</v>
      </c>
      <c r="W158" s="26">
        <v>3678.6845115384617</v>
      </c>
    </row>
    <row r="159" spans="1:46" x14ac:dyDescent="0.35">
      <c r="A159" s="12" t="str">
        <v>Fixed to Mobile Telephone traffic</v>
      </c>
      <c r="D159" s="26">
        <v>19056.808697115386</v>
      </c>
      <c r="E159" s="26">
        <v>13918.496846153846</v>
      </c>
      <c r="F159" s="26">
        <v>15032.805855769231</v>
      </c>
      <c r="G159" s="26">
        <v>14100.494567307693</v>
      </c>
      <c r="H159" s="26">
        <v>14100.494567307693</v>
      </c>
      <c r="I159" s="26">
        <v>14100.494567307693</v>
      </c>
      <c r="J159" s="26">
        <v>14100.494567307693</v>
      </c>
      <c r="K159" s="26">
        <v>14100.494567307693</v>
      </c>
      <c r="L159" s="26">
        <v>14100.494567307693</v>
      </c>
      <c r="M159" s="26">
        <v>14100.494567307693</v>
      </c>
      <c r="N159" s="26">
        <v>14100.494567307693</v>
      </c>
      <c r="O159" s="26">
        <v>14100.494567307693</v>
      </c>
      <c r="P159" s="26">
        <v>14100.494567307693</v>
      </c>
      <c r="Q159" s="26">
        <v>14100.494567307693</v>
      </c>
      <c r="R159" s="26">
        <v>14100.494567307693</v>
      </c>
      <c r="S159" s="26">
        <v>14100.494567307693</v>
      </c>
      <c r="T159" s="26">
        <v>14100.494567307693</v>
      </c>
      <c r="U159" s="26">
        <v>14100.494567307693</v>
      </c>
      <c r="V159" s="26">
        <v>14100.494567307693</v>
      </c>
      <c r="W159" s="26">
        <v>14100.494567307693</v>
      </c>
    </row>
    <row r="160" spans="1:46" x14ac:dyDescent="0.35">
      <c r="A160" s="12" t="str">
        <v>Outgoing mobile traffic to fixed networks</v>
      </c>
      <c r="D160" s="26">
        <v>5537.7100384615387</v>
      </c>
      <c r="E160" s="26">
        <v>5763.9319423076931</v>
      </c>
      <c r="F160" s="26">
        <v>6892.3505721153842</v>
      </c>
      <c r="G160" s="26">
        <v>6421.1875336538469</v>
      </c>
      <c r="H160" s="26">
        <v>6421.1875336538469</v>
      </c>
      <c r="I160" s="26">
        <v>6421.1875336538469</v>
      </c>
      <c r="J160" s="26">
        <v>6421.1875336538469</v>
      </c>
      <c r="K160" s="26">
        <v>6421.1875336538469</v>
      </c>
      <c r="L160" s="26">
        <v>6421.1875336538469</v>
      </c>
      <c r="M160" s="26">
        <v>6421.1875336538469</v>
      </c>
      <c r="N160" s="26">
        <v>6421.1875336538469</v>
      </c>
      <c r="O160" s="26">
        <v>6421.1875336538469</v>
      </c>
      <c r="P160" s="26">
        <v>6421.1875336538469</v>
      </c>
      <c r="Q160" s="26">
        <v>6421.1875336538469</v>
      </c>
      <c r="R160" s="26">
        <v>6421.1875336538469</v>
      </c>
      <c r="S160" s="26">
        <v>6421.1875336538469</v>
      </c>
      <c r="T160" s="26">
        <v>6421.1875336538469</v>
      </c>
      <c r="U160" s="26">
        <v>6421.1875336538469</v>
      </c>
      <c r="V160" s="26">
        <v>6421.1875336538469</v>
      </c>
      <c r="W160" s="26">
        <v>6421.1875336538469</v>
      </c>
    </row>
    <row r="161" spans="1:46" x14ac:dyDescent="0.35">
      <c r="A161" s="12" t="str">
        <v xml:space="preserve">International incoming fixed telephone traffic </v>
      </c>
      <c r="D161" s="26">
        <v>844.11797259615389</v>
      </c>
      <c r="E161" s="26">
        <v>369.93411826923079</v>
      </c>
      <c r="F161" s="26">
        <v>241.4195793269231</v>
      </c>
      <c r="G161" s="26">
        <v>105.59658471153847</v>
      </c>
      <c r="H161" s="26">
        <v>105.59658471153847</v>
      </c>
      <c r="I161" s="26">
        <v>105.59658471153847</v>
      </c>
      <c r="J161" s="26">
        <v>105.59658471153847</v>
      </c>
      <c r="K161" s="26">
        <v>105.59658471153847</v>
      </c>
      <c r="L161" s="26">
        <v>105.59658471153847</v>
      </c>
      <c r="M161" s="26">
        <v>105.59658471153847</v>
      </c>
      <c r="N161" s="26">
        <v>105.59658471153847</v>
      </c>
      <c r="O161" s="26">
        <v>105.59658471153847</v>
      </c>
      <c r="P161" s="26">
        <v>105.59658471153847</v>
      </c>
      <c r="Q161" s="26">
        <v>105.59658471153847</v>
      </c>
      <c r="R161" s="26">
        <v>105.59658471153847</v>
      </c>
      <c r="S161" s="26">
        <v>105.59658471153847</v>
      </c>
      <c r="T161" s="26">
        <v>105.59658471153847</v>
      </c>
      <c r="U161" s="26">
        <v>105.59658471153847</v>
      </c>
      <c r="V161" s="26">
        <v>105.59658471153847</v>
      </c>
      <c r="W161" s="26">
        <v>105.59658471153847</v>
      </c>
    </row>
    <row r="162" spans="1:46" x14ac:dyDescent="0.35">
      <c r="A162" s="12" t="str">
        <v>International outgoing fixed telephone traffic</v>
      </c>
      <c r="D162" s="26">
        <v>833.97916923076934</v>
      </c>
      <c r="E162" s="26">
        <v>186.76129740384616</v>
      </c>
      <c r="F162" s="26">
        <v>190.97242235576923</v>
      </c>
      <c r="G162" s="26">
        <v>151.93838038461539</v>
      </c>
      <c r="H162" s="26">
        <v>151.93838038461539</v>
      </c>
      <c r="I162" s="26">
        <v>151.93838038461539</v>
      </c>
      <c r="J162" s="26">
        <v>151.93838038461539</v>
      </c>
      <c r="K162" s="26">
        <v>151.93838038461539</v>
      </c>
      <c r="L162" s="26">
        <v>151.93838038461539</v>
      </c>
      <c r="M162" s="26">
        <v>151.93838038461539</v>
      </c>
      <c r="N162" s="26">
        <v>151.93838038461539</v>
      </c>
      <c r="O162" s="26">
        <v>151.93838038461539</v>
      </c>
      <c r="P162" s="26">
        <v>151.93838038461539</v>
      </c>
      <c r="Q162" s="26">
        <v>151.93838038461539</v>
      </c>
      <c r="R162" s="26">
        <v>151.93838038461539</v>
      </c>
      <c r="S162" s="26">
        <v>151.93838038461539</v>
      </c>
      <c r="T162" s="26">
        <v>151.93838038461539</v>
      </c>
      <c r="U162" s="26">
        <v>151.93838038461539</v>
      </c>
      <c r="V162" s="26">
        <v>151.93838038461539</v>
      </c>
      <c r="W162" s="26">
        <v>151.93838038461539</v>
      </c>
      <c r="X162" s="15"/>
    </row>
    <row r="163" spans="1:46" x14ac:dyDescent="0.35">
      <c r="D163" s="75"/>
      <c r="E163" s="75"/>
      <c r="F163" s="75"/>
      <c r="G163" s="75"/>
      <c r="H163" s="75"/>
      <c r="I163" s="75"/>
      <c r="J163" s="75"/>
      <c r="K163" s="75"/>
      <c r="L163" s="75"/>
      <c r="M163" s="75"/>
      <c r="N163" s="75"/>
      <c r="O163" s="75"/>
      <c r="P163" s="75"/>
      <c r="Q163" s="75"/>
      <c r="R163" s="75"/>
      <c r="S163" s="75"/>
      <c r="T163" s="75"/>
      <c r="U163" s="75"/>
      <c r="V163" s="75"/>
      <c r="W163" s="75"/>
      <c r="X163" s="15"/>
    </row>
    <row r="164" spans="1:46" x14ac:dyDescent="0.35">
      <c r="A164" s="12" t="s">
        <v>114</v>
      </c>
      <c r="D164" s="26">
        <f>SUM(D156:D162)</f>
        <v>54683.962367788467</v>
      </c>
      <c r="E164" s="26">
        <f t="shared" ref="E164:W164" si="18">SUM(E156:E162)</f>
        <v>44136.983367596164</v>
      </c>
      <c r="F164" s="26">
        <f t="shared" si="18"/>
        <v>43128.219698798086</v>
      </c>
      <c r="G164" s="26">
        <f>SUM(G156:G162)</f>
        <v>39172.639623749994</v>
      </c>
      <c r="H164" s="26">
        <f t="shared" si="18"/>
        <v>39172.639623749994</v>
      </c>
      <c r="I164" s="26">
        <f t="shared" si="18"/>
        <v>39172.639623749994</v>
      </c>
      <c r="J164" s="26">
        <f t="shared" si="18"/>
        <v>39172.639623749994</v>
      </c>
      <c r="K164" s="26">
        <f t="shared" si="18"/>
        <v>39172.639623749994</v>
      </c>
      <c r="L164" s="26">
        <f t="shared" si="18"/>
        <v>39172.639623749994</v>
      </c>
      <c r="M164" s="26">
        <f t="shared" si="18"/>
        <v>39172.639623749994</v>
      </c>
      <c r="N164" s="26">
        <f t="shared" si="18"/>
        <v>39172.639623749994</v>
      </c>
      <c r="O164" s="26">
        <f t="shared" si="18"/>
        <v>39172.639623749994</v>
      </c>
      <c r="P164" s="26">
        <f t="shared" si="18"/>
        <v>39172.639623749994</v>
      </c>
      <c r="Q164" s="26">
        <f t="shared" si="18"/>
        <v>39172.639623749994</v>
      </c>
      <c r="R164" s="26">
        <f t="shared" si="18"/>
        <v>39172.639623749994</v>
      </c>
      <c r="S164" s="26">
        <f t="shared" si="18"/>
        <v>39172.639623749994</v>
      </c>
      <c r="T164" s="26">
        <f t="shared" si="18"/>
        <v>39172.639623749994</v>
      </c>
      <c r="U164" s="26">
        <f t="shared" si="18"/>
        <v>39172.639623749994</v>
      </c>
      <c r="V164" s="26">
        <f t="shared" si="18"/>
        <v>39172.639623749994</v>
      </c>
      <c r="W164" s="26">
        <f t="shared" si="18"/>
        <v>39172.639623749994</v>
      </c>
      <c r="X164" s="15" t="s">
        <v>115</v>
      </c>
      <c r="Z164" s="171" cm="1">
        <f t="array" ref="Z164:AS164">D164:W164-D157:W157-D160:W160-D161:W161</f>
        <v>42619.86505865385</v>
      </c>
      <c r="AA164" s="171">
        <v>33223.545474326929</v>
      </c>
      <c r="AB164" s="171">
        <v>31840.315293509622</v>
      </c>
      <c r="AC164" s="171">
        <v>28967.170993846146</v>
      </c>
      <c r="AD164" s="171">
        <v>28967.170993846146</v>
      </c>
      <c r="AE164" s="171">
        <v>28967.170993846146</v>
      </c>
      <c r="AF164" s="171">
        <v>28967.170993846146</v>
      </c>
      <c r="AG164" s="171">
        <v>28967.170993846146</v>
      </c>
      <c r="AH164" s="171">
        <v>28967.170993846146</v>
      </c>
      <c r="AI164" s="171">
        <v>28967.170993846146</v>
      </c>
      <c r="AJ164" s="171">
        <v>28967.170993846146</v>
      </c>
      <c r="AK164" s="171">
        <v>28967.170993846146</v>
      </c>
      <c r="AL164" s="171">
        <v>28967.170993846146</v>
      </c>
      <c r="AM164" s="171">
        <v>28967.170993846146</v>
      </c>
      <c r="AN164" s="171">
        <v>28967.170993846146</v>
      </c>
      <c r="AO164" s="171">
        <v>28967.170993846146</v>
      </c>
      <c r="AP164" s="171">
        <v>28967.170993846146</v>
      </c>
      <c r="AQ164" s="171">
        <v>28967.170993846146</v>
      </c>
      <c r="AR164" s="171">
        <v>28967.170993846146</v>
      </c>
      <c r="AS164" s="171">
        <v>28967.170993846146</v>
      </c>
      <c r="AT164" s="15" t="s">
        <v>116</v>
      </c>
    </row>
    <row r="166" spans="1:46" s="48" customFormat="1" x14ac:dyDescent="0.35">
      <c r="A166" s="48" t="s">
        <v>117</v>
      </c>
    </row>
    <row r="168" spans="1:46" x14ac:dyDescent="0.35">
      <c r="A168"/>
      <c r="C168"/>
      <c r="D168" s="52" cm="1">
        <f t="array" ref="D168:W168">years</f>
        <v>2018</v>
      </c>
      <c r="E168" s="52">
        <v>2019</v>
      </c>
      <c r="F168" s="52">
        <v>2020</v>
      </c>
      <c r="G168" s="52">
        <v>2021</v>
      </c>
      <c r="H168" s="52">
        <v>2022</v>
      </c>
      <c r="I168" s="52">
        <v>2023</v>
      </c>
      <c r="J168" s="52">
        <v>2024</v>
      </c>
      <c r="K168" s="52">
        <v>2025</v>
      </c>
      <c r="L168" s="52">
        <v>2026</v>
      </c>
      <c r="M168" s="52">
        <v>2027</v>
      </c>
      <c r="N168" s="52">
        <v>2028</v>
      </c>
      <c r="O168" s="52">
        <v>2029</v>
      </c>
      <c r="P168" s="52">
        <v>2030</v>
      </c>
      <c r="Q168" s="52">
        <v>2031</v>
      </c>
      <c r="R168" s="52">
        <v>2032</v>
      </c>
      <c r="S168" s="52">
        <v>2033</v>
      </c>
      <c r="T168" s="52">
        <v>2034</v>
      </c>
      <c r="U168" s="52">
        <v>2035</v>
      </c>
      <c r="V168" s="52">
        <v>2036</v>
      </c>
      <c r="W168" s="52">
        <v>2037</v>
      </c>
    </row>
    <row r="169" spans="1:46" x14ac:dyDescent="0.35">
      <c r="A169" s="17" t="s">
        <v>118</v>
      </c>
      <c r="B169" s="17" t="s">
        <v>119</v>
      </c>
      <c r="C169" s="17"/>
      <c r="D169" s="4" cm="1">
        <f t="array" ref="D169:W169">D65:W65+D68:W68+D69:W69</f>
        <v>2577904500</v>
      </c>
      <c r="E169" s="4">
        <v>2332027000</v>
      </c>
      <c r="F169" s="4">
        <v>2412044500</v>
      </c>
      <c r="G169" s="4">
        <v>2180745300</v>
      </c>
      <c r="H169" s="4">
        <v>2180745300</v>
      </c>
      <c r="I169" s="4">
        <v>2180745300</v>
      </c>
      <c r="J169" s="4">
        <v>2180745300</v>
      </c>
      <c r="K169" s="4">
        <v>2180745300</v>
      </c>
      <c r="L169" s="4">
        <v>2180745300</v>
      </c>
      <c r="M169" s="4">
        <v>2180745300</v>
      </c>
      <c r="N169" s="4">
        <v>2180745300</v>
      </c>
      <c r="O169" s="4">
        <v>2180745300</v>
      </c>
      <c r="P169" s="4">
        <v>2180745300</v>
      </c>
      <c r="Q169" s="4">
        <v>2180745300</v>
      </c>
      <c r="R169" s="4">
        <v>2180745300</v>
      </c>
      <c r="S169" s="4">
        <v>2180745300</v>
      </c>
      <c r="T169" s="4">
        <v>2180745300</v>
      </c>
      <c r="U169" s="4">
        <v>2180745300</v>
      </c>
      <c r="V169" s="4">
        <v>2180745300</v>
      </c>
      <c r="W169" s="4">
        <v>2180745300</v>
      </c>
      <c r="X169" s="15" t="s">
        <v>120</v>
      </c>
      <c r="Y169" s="23"/>
      <c r="Z169" s="23"/>
      <c r="AA169" s="23"/>
      <c r="AB169" s="23"/>
      <c r="AC169" s="23"/>
    </row>
  </sheetData>
  <phoneticPr fontId="1" type="noConversion"/>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BD908-4D53-4693-ADEE-DCA449317818}">
  <dimension ref="A1:BP125"/>
  <sheetViews>
    <sheetView topLeftCell="A6" zoomScale="80" zoomScaleNormal="80" workbookViewId="0">
      <selection activeCell="H32" sqref="H32"/>
    </sheetView>
  </sheetViews>
  <sheetFormatPr defaultColWidth="8.54296875" defaultRowHeight="14.5" x14ac:dyDescent="0.35"/>
  <cols>
    <col min="1" max="1" width="67.54296875" style="12" customWidth="1"/>
    <col min="2" max="2" width="38.54296875" style="12" bestFit="1" customWidth="1"/>
    <col min="3" max="3" width="17.54296875" style="12" bestFit="1" customWidth="1"/>
    <col min="4" max="23" width="10.6328125" style="12" customWidth="1"/>
    <col min="24" max="24" width="17.6328125" style="12" bestFit="1" customWidth="1"/>
    <col min="25" max="25" width="12.453125" style="12" bestFit="1" customWidth="1"/>
    <col min="26" max="45" width="15.6328125" style="12" customWidth="1"/>
    <col min="46" max="46" width="35.453125" style="12" bestFit="1" customWidth="1"/>
    <col min="47" max="47" width="8.54296875" style="12"/>
    <col min="48" max="67" width="15.6328125" style="12" customWidth="1"/>
    <col min="68" max="16384" width="8.54296875" style="12"/>
  </cols>
  <sheetData>
    <row r="1" spans="1:45" ht="18.5" x14ac:dyDescent="0.45">
      <c r="A1" s="89" t="s">
        <v>121</v>
      </c>
      <c r="B1" s="89"/>
      <c r="C1" s="89"/>
      <c r="D1" s="91"/>
      <c r="E1" s="91"/>
      <c r="F1" s="91"/>
      <c r="G1" s="91"/>
      <c r="H1" s="91"/>
      <c r="I1" s="91"/>
      <c r="J1" s="91"/>
      <c r="K1" s="91"/>
      <c r="L1" s="91"/>
    </row>
    <row r="3" spans="1:45" x14ac:dyDescent="0.35">
      <c r="A3" s="18" t="s">
        <v>122</v>
      </c>
    </row>
    <row r="4" spans="1:45" x14ac:dyDescent="0.35">
      <c r="A4" s="18"/>
    </row>
    <row r="5" spans="1:45" x14ac:dyDescent="0.35">
      <c r="A5" s="18" t="s">
        <v>123</v>
      </c>
      <c r="C5" s="9">
        <v>0.8</v>
      </c>
      <c r="D5" s="15" t="s">
        <v>124</v>
      </c>
    </row>
    <row r="6" spans="1:45" x14ac:dyDescent="0.35">
      <c r="A6" s="12" t="s">
        <v>125</v>
      </c>
      <c r="B6" s="18"/>
      <c r="C6" s="9">
        <v>2</v>
      </c>
      <c r="D6" s="15" t="s">
        <v>126</v>
      </c>
    </row>
    <row r="7" spans="1:45" x14ac:dyDescent="0.35">
      <c r="A7" s="21"/>
    </row>
    <row r="8" spans="1:45" x14ac:dyDescent="0.35">
      <c r="A8" s="21"/>
    </row>
    <row r="9" spans="1:45" x14ac:dyDescent="0.35">
      <c r="A9" s="21" t="s">
        <v>366</v>
      </c>
    </row>
    <row r="10" spans="1:45" x14ac:dyDescent="0.35">
      <c r="D10" s="21"/>
      <c r="Z10" s="21"/>
    </row>
    <row r="11" spans="1:45" x14ac:dyDescent="0.35">
      <c r="A11" s="12" t="s">
        <v>128</v>
      </c>
      <c r="D11" s="21"/>
      <c r="Z11" s="21"/>
    </row>
    <row r="12" spans="1:45" x14ac:dyDescent="0.35">
      <c r="A12" s="12" t="s">
        <v>129</v>
      </c>
      <c r="D12" s="21"/>
      <c r="Z12" s="21"/>
    </row>
    <row r="13" spans="1:45" x14ac:dyDescent="0.35">
      <c r="B13" s="114"/>
      <c r="D13" s="48" t="s">
        <v>97</v>
      </c>
      <c r="E13" s="49"/>
      <c r="F13" s="49"/>
      <c r="G13" s="49"/>
      <c r="H13" s="49"/>
      <c r="I13" s="49"/>
      <c r="J13" s="49"/>
      <c r="K13" s="49"/>
      <c r="L13" s="49"/>
      <c r="M13" s="49"/>
      <c r="N13" s="49"/>
      <c r="O13" s="49"/>
      <c r="P13" s="49"/>
      <c r="Q13" s="49"/>
      <c r="R13" s="49"/>
      <c r="S13" s="49"/>
      <c r="T13" s="49"/>
      <c r="U13" s="49"/>
      <c r="V13" s="49"/>
      <c r="W13" s="49"/>
      <c r="Z13" s="48" t="s">
        <v>127</v>
      </c>
      <c r="AA13" s="49"/>
      <c r="AB13" s="49"/>
      <c r="AC13" s="49"/>
      <c r="AD13" s="49"/>
      <c r="AE13" s="49"/>
      <c r="AF13" s="49"/>
      <c r="AG13" s="49"/>
      <c r="AH13" s="49"/>
      <c r="AI13" s="49"/>
      <c r="AJ13" s="49"/>
      <c r="AK13" s="49"/>
      <c r="AL13" s="49"/>
      <c r="AM13" s="49"/>
      <c r="AN13" s="49"/>
      <c r="AO13" s="49"/>
      <c r="AP13" s="49"/>
      <c r="AQ13" s="49"/>
      <c r="AR13" s="49"/>
      <c r="AS13" s="49"/>
    </row>
    <row r="14" spans="1:45" x14ac:dyDescent="0.35">
      <c r="AA14"/>
    </row>
    <row r="15" spans="1:45" x14ac:dyDescent="0.35">
      <c r="A15" s="129" t="s">
        <v>130</v>
      </c>
      <c r="B15" s="29" t="s">
        <v>131</v>
      </c>
      <c r="C15" s="29" t="s">
        <v>22</v>
      </c>
      <c r="D15" s="52" cm="1">
        <f t="array" ref="D15:W15">years</f>
        <v>2018</v>
      </c>
      <c r="E15" s="52">
        <v>2019</v>
      </c>
      <c r="F15" s="52">
        <v>2020</v>
      </c>
      <c r="G15" s="52">
        <v>2021</v>
      </c>
      <c r="H15" s="52">
        <v>2022</v>
      </c>
      <c r="I15" s="52">
        <v>2023</v>
      </c>
      <c r="J15" s="52">
        <v>2024</v>
      </c>
      <c r="K15" s="52">
        <v>2025</v>
      </c>
      <c r="L15" s="52">
        <v>2026</v>
      </c>
      <c r="M15" s="52">
        <v>2027</v>
      </c>
      <c r="N15" s="52">
        <v>2028</v>
      </c>
      <c r="O15" s="52">
        <v>2029</v>
      </c>
      <c r="P15" s="52">
        <v>2030</v>
      </c>
      <c r="Q15" s="52">
        <v>2031</v>
      </c>
      <c r="R15" s="52">
        <v>2032</v>
      </c>
      <c r="S15" s="52">
        <v>2033</v>
      </c>
      <c r="T15" s="52">
        <v>2034</v>
      </c>
      <c r="U15" s="52">
        <v>2035</v>
      </c>
      <c r="V15" s="52">
        <v>2036</v>
      </c>
      <c r="W15" s="52">
        <v>2037</v>
      </c>
      <c r="X15" s="177"/>
      <c r="Z15" s="52" cm="1">
        <f t="array" ref="Z15:AS15">years</f>
        <v>2018</v>
      </c>
      <c r="AA15" s="52">
        <v>2019</v>
      </c>
      <c r="AB15" s="52">
        <v>2020</v>
      </c>
      <c r="AC15" s="52">
        <v>2021</v>
      </c>
      <c r="AD15" s="52">
        <v>2022</v>
      </c>
      <c r="AE15" s="52">
        <v>2023</v>
      </c>
      <c r="AF15" s="52">
        <v>2024</v>
      </c>
      <c r="AG15" s="52">
        <v>2025</v>
      </c>
      <c r="AH15" s="52">
        <v>2026</v>
      </c>
      <c r="AI15" s="52">
        <v>2027</v>
      </c>
      <c r="AJ15" s="52">
        <v>2028</v>
      </c>
      <c r="AK15" s="52">
        <v>2029</v>
      </c>
      <c r="AL15" s="52">
        <v>2030</v>
      </c>
      <c r="AM15" s="52">
        <v>2031</v>
      </c>
      <c r="AN15" s="52">
        <v>2032</v>
      </c>
      <c r="AO15" s="52">
        <v>2033</v>
      </c>
      <c r="AP15" s="52">
        <v>2034</v>
      </c>
      <c r="AQ15" s="52">
        <v>2035</v>
      </c>
      <c r="AR15" s="52">
        <v>2036</v>
      </c>
      <c r="AS15" s="52">
        <v>2037</v>
      </c>
    </row>
    <row r="16" spans="1:45" x14ac:dyDescent="0.35">
      <c r="A16" s="7" t="s">
        <v>132</v>
      </c>
      <c r="B16" s="7" t="str">
        <f>'2 Dimensioning'!B39</f>
        <v>Calls per second</v>
      </c>
      <c r="C16" s="17" t="s">
        <v>133</v>
      </c>
      <c r="D16" s="207" cm="1">
        <f t="array" ref="D16:W16">ROUNDUP((fixed_calls_persecond_onnet_factor/max_load)/as_hardware,0)*redundancy</f>
        <v>2</v>
      </c>
      <c r="E16" s="207">
        <v>2</v>
      </c>
      <c r="F16" s="207">
        <v>2</v>
      </c>
      <c r="G16" s="207">
        <v>2</v>
      </c>
      <c r="H16" s="207">
        <v>2</v>
      </c>
      <c r="I16" s="207">
        <v>2</v>
      </c>
      <c r="J16" s="207">
        <v>2</v>
      </c>
      <c r="K16" s="207">
        <v>2</v>
      </c>
      <c r="L16" s="207">
        <v>2</v>
      </c>
      <c r="M16" s="207">
        <v>2</v>
      </c>
      <c r="N16" s="207">
        <v>2</v>
      </c>
      <c r="O16" s="207">
        <v>2</v>
      </c>
      <c r="P16" s="207">
        <v>2</v>
      </c>
      <c r="Q16" s="207">
        <v>2</v>
      </c>
      <c r="R16" s="207">
        <v>2</v>
      </c>
      <c r="S16" s="207">
        <v>2</v>
      </c>
      <c r="T16" s="207">
        <v>2</v>
      </c>
      <c r="U16" s="207">
        <v>2</v>
      </c>
      <c r="V16" s="207">
        <v>2</v>
      </c>
      <c r="W16" s="207">
        <v>2</v>
      </c>
      <c r="X16" s="84"/>
      <c r="Z16" s="207" cm="1">
        <f t="array" ref="Z16:AS16">ROUNDUP((fixed_calls_persecond_onnet_factor_noincoming/max_load)/as_hardware,0)*redundancy</f>
        <v>2</v>
      </c>
      <c r="AA16" s="207">
        <v>2</v>
      </c>
      <c r="AB16" s="207">
        <v>2</v>
      </c>
      <c r="AC16" s="207">
        <v>2</v>
      </c>
      <c r="AD16" s="207">
        <v>2</v>
      </c>
      <c r="AE16" s="207">
        <v>2</v>
      </c>
      <c r="AF16" s="207">
        <v>2</v>
      </c>
      <c r="AG16" s="207">
        <v>2</v>
      </c>
      <c r="AH16" s="207">
        <v>2</v>
      </c>
      <c r="AI16" s="207">
        <v>2</v>
      </c>
      <c r="AJ16" s="207">
        <v>2</v>
      </c>
      <c r="AK16" s="207">
        <v>2</v>
      </c>
      <c r="AL16" s="207">
        <v>2</v>
      </c>
      <c r="AM16" s="207">
        <v>2</v>
      </c>
      <c r="AN16" s="207">
        <v>2</v>
      </c>
      <c r="AO16" s="207">
        <v>2</v>
      </c>
      <c r="AP16" s="207">
        <v>2</v>
      </c>
      <c r="AQ16" s="207">
        <v>2</v>
      </c>
      <c r="AR16" s="207">
        <v>2</v>
      </c>
      <c r="AS16" s="207">
        <v>2</v>
      </c>
    </row>
    <row r="17" spans="1:49" x14ac:dyDescent="0.35">
      <c r="A17" s="7" t="s">
        <v>134</v>
      </c>
      <c r="B17" s="7" t="str">
        <f>'2 Dimensioning'!B40</f>
        <v>Calls per second</v>
      </c>
      <c r="C17" s="17" t="s">
        <v>133</v>
      </c>
      <c r="D17" s="207" cm="1">
        <f t="array" ref="D17:W17">ROUNDUP((fixed_calls_persecond_onnet_factor/max_load)/as_software,0)*redundancy</f>
        <v>2</v>
      </c>
      <c r="E17" s="5">
        <v>2</v>
      </c>
      <c r="F17" s="5">
        <v>2</v>
      </c>
      <c r="G17" s="5">
        <v>2</v>
      </c>
      <c r="H17" s="5">
        <v>2</v>
      </c>
      <c r="I17" s="5">
        <v>2</v>
      </c>
      <c r="J17" s="5">
        <v>2</v>
      </c>
      <c r="K17" s="5">
        <v>2</v>
      </c>
      <c r="L17" s="5">
        <v>2</v>
      </c>
      <c r="M17" s="5">
        <v>2</v>
      </c>
      <c r="N17" s="5">
        <v>2</v>
      </c>
      <c r="O17" s="5">
        <v>2</v>
      </c>
      <c r="P17" s="5">
        <v>2</v>
      </c>
      <c r="Q17" s="5">
        <v>2</v>
      </c>
      <c r="R17" s="5">
        <v>2</v>
      </c>
      <c r="S17" s="5">
        <v>2</v>
      </c>
      <c r="T17" s="5">
        <v>2</v>
      </c>
      <c r="U17" s="5">
        <v>2</v>
      </c>
      <c r="V17" s="5">
        <v>2</v>
      </c>
      <c r="W17" s="5">
        <v>2</v>
      </c>
      <c r="X17" s="84"/>
      <c r="Z17" s="207" cm="1">
        <f t="array" ref="Z17:AS17">ROUNDUP((fixed_calls_persecond_onnet_factor_noincoming/max_load)/as_software,0)*redundancy</f>
        <v>2</v>
      </c>
      <c r="AA17" s="5">
        <v>2</v>
      </c>
      <c r="AB17" s="5">
        <v>2</v>
      </c>
      <c r="AC17" s="5">
        <v>2</v>
      </c>
      <c r="AD17" s="5">
        <v>2</v>
      </c>
      <c r="AE17" s="5">
        <v>2</v>
      </c>
      <c r="AF17" s="5">
        <v>2</v>
      </c>
      <c r="AG17" s="5">
        <v>2</v>
      </c>
      <c r="AH17" s="5">
        <v>2</v>
      </c>
      <c r="AI17" s="5">
        <v>2</v>
      </c>
      <c r="AJ17" s="5">
        <v>2</v>
      </c>
      <c r="AK17" s="5">
        <v>2</v>
      </c>
      <c r="AL17" s="5">
        <v>2</v>
      </c>
      <c r="AM17" s="5">
        <v>2</v>
      </c>
      <c r="AN17" s="5">
        <v>2</v>
      </c>
      <c r="AO17" s="5">
        <v>2</v>
      </c>
      <c r="AP17" s="5">
        <v>2</v>
      </c>
      <c r="AQ17" s="5">
        <v>2</v>
      </c>
      <c r="AR17" s="5">
        <v>2</v>
      </c>
      <c r="AS17" s="5">
        <v>2</v>
      </c>
    </row>
    <row r="18" spans="1:49" x14ac:dyDescent="0.35">
      <c r="A18" s="7" t="s">
        <v>135</v>
      </c>
      <c r="B18" s="7" t="str">
        <f>'2 Dimensioning'!B41</f>
        <v>Call data records per hour (calls per hour)</v>
      </c>
      <c r="C18" s="17" t="s">
        <v>136</v>
      </c>
      <c r="D18" s="207" cm="1">
        <f t="array" ref="D18:W18">ROUNDUP((fixed_calls_per_hour/max_load)/cdf_hardware,0)*redundancy</f>
        <v>2</v>
      </c>
      <c r="E18" s="5">
        <v>2</v>
      </c>
      <c r="F18" s="5">
        <v>2</v>
      </c>
      <c r="G18" s="5">
        <v>2</v>
      </c>
      <c r="H18" s="5">
        <v>2</v>
      </c>
      <c r="I18" s="5">
        <v>2</v>
      </c>
      <c r="J18" s="5">
        <v>2</v>
      </c>
      <c r="K18" s="5">
        <v>2</v>
      </c>
      <c r="L18" s="5">
        <v>2</v>
      </c>
      <c r="M18" s="5">
        <v>2</v>
      </c>
      <c r="N18" s="5">
        <v>2</v>
      </c>
      <c r="O18" s="5">
        <v>2</v>
      </c>
      <c r="P18" s="5">
        <v>2</v>
      </c>
      <c r="Q18" s="5">
        <v>2</v>
      </c>
      <c r="R18" s="5">
        <v>2</v>
      </c>
      <c r="S18" s="5">
        <v>2</v>
      </c>
      <c r="T18" s="5">
        <v>2</v>
      </c>
      <c r="U18" s="5">
        <v>2</v>
      </c>
      <c r="V18" s="5">
        <v>2</v>
      </c>
      <c r="W18" s="5">
        <v>2</v>
      </c>
      <c r="Z18" s="207" cm="1">
        <f t="array" ref="Z18:AS18">ROUNDUP((fixed_calls_per_hour_noincoming/max_load)/cdf_hardware,0)*redundancy</f>
        <v>2</v>
      </c>
      <c r="AA18" s="5">
        <v>2</v>
      </c>
      <c r="AB18" s="5">
        <v>2</v>
      </c>
      <c r="AC18" s="5">
        <v>2</v>
      </c>
      <c r="AD18" s="5">
        <v>2</v>
      </c>
      <c r="AE18" s="5">
        <v>2</v>
      </c>
      <c r="AF18" s="5">
        <v>2</v>
      </c>
      <c r="AG18" s="5">
        <v>2</v>
      </c>
      <c r="AH18" s="5">
        <v>2</v>
      </c>
      <c r="AI18" s="5">
        <v>2</v>
      </c>
      <c r="AJ18" s="5">
        <v>2</v>
      </c>
      <c r="AK18" s="5">
        <v>2</v>
      </c>
      <c r="AL18" s="5">
        <v>2</v>
      </c>
      <c r="AM18" s="5">
        <v>2</v>
      </c>
      <c r="AN18" s="5">
        <v>2</v>
      </c>
      <c r="AO18" s="5">
        <v>2</v>
      </c>
      <c r="AP18" s="5">
        <v>2</v>
      </c>
      <c r="AQ18" s="5">
        <v>2</v>
      </c>
      <c r="AR18" s="5">
        <v>2</v>
      </c>
      <c r="AS18" s="5">
        <v>2</v>
      </c>
    </row>
    <row r="19" spans="1:49" x14ac:dyDescent="0.35">
      <c r="A19" s="7" t="s">
        <v>137</v>
      </c>
      <c r="B19" s="7" t="str">
        <f>'2 Dimensioning'!B42</f>
        <v>Call data records per hour (calls per hour)</v>
      </c>
      <c r="C19" s="17" t="s">
        <v>136</v>
      </c>
      <c r="D19" s="207" cm="1">
        <f t="array" ref="D19:W19">ROUNDUP((fixed_calls_per_hour/max_load)/cdf_software,0)*redundancy</f>
        <v>168</v>
      </c>
      <c r="E19" s="5">
        <v>134</v>
      </c>
      <c r="F19" s="5">
        <v>134</v>
      </c>
      <c r="G19" s="5">
        <v>122</v>
      </c>
      <c r="H19" s="5">
        <v>122</v>
      </c>
      <c r="I19" s="5">
        <v>122</v>
      </c>
      <c r="J19" s="5">
        <v>122</v>
      </c>
      <c r="K19" s="5">
        <v>122</v>
      </c>
      <c r="L19" s="5">
        <v>122</v>
      </c>
      <c r="M19" s="5">
        <v>122</v>
      </c>
      <c r="N19" s="5">
        <v>122</v>
      </c>
      <c r="O19" s="5">
        <v>122</v>
      </c>
      <c r="P19" s="5">
        <v>122</v>
      </c>
      <c r="Q19" s="5">
        <v>122</v>
      </c>
      <c r="R19" s="5">
        <v>122</v>
      </c>
      <c r="S19" s="5">
        <v>122</v>
      </c>
      <c r="T19" s="5">
        <v>122</v>
      </c>
      <c r="U19" s="5">
        <v>122</v>
      </c>
      <c r="V19" s="5">
        <v>122</v>
      </c>
      <c r="W19" s="5">
        <v>122</v>
      </c>
      <c r="X19" s="178"/>
      <c r="Y19" s="178"/>
      <c r="Z19" s="207" cm="1">
        <f t="array" ref="Z19:AS19">ROUNDUP((fixed_calls_per_hour_noincoming/max_load)/cdf_software,0)*redundancy</f>
        <v>124</v>
      </c>
      <c r="AA19" s="5">
        <v>94</v>
      </c>
      <c r="AB19" s="5">
        <v>94</v>
      </c>
      <c r="AC19" s="5">
        <v>86</v>
      </c>
      <c r="AD19" s="5">
        <v>86</v>
      </c>
      <c r="AE19" s="5">
        <v>86</v>
      </c>
      <c r="AF19" s="5">
        <v>86</v>
      </c>
      <c r="AG19" s="5">
        <v>86</v>
      </c>
      <c r="AH19" s="5">
        <v>86</v>
      </c>
      <c r="AI19" s="5">
        <v>86</v>
      </c>
      <c r="AJ19" s="5">
        <v>86</v>
      </c>
      <c r="AK19" s="5">
        <v>86</v>
      </c>
      <c r="AL19" s="5">
        <v>86</v>
      </c>
      <c r="AM19" s="5">
        <v>86</v>
      </c>
      <c r="AN19" s="5">
        <v>86</v>
      </c>
      <c r="AO19" s="5">
        <v>86</v>
      </c>
      <c r="AP19" s="5">
        <v>86</v>
      </c>
      <c r="AQ19" s="5">
        <v>86</v>
      </c>
      <c r="AR19" s="5">
        <v>86</v>
      </c>
      <c r="AS19" s="5">
        <v>86</v>
      </c>
    </row>
    <row r="20" spans="1:49" x14ac:dyDescent="0.35">
      <c r="A20" s="7" t="s">
        <v>138</v>
      </c>
      <c r="B20" s="7" t="str">
        <f>'2 Dimensioning'!B43</f>
        <v>Busy hour call attempts</v>
      </c>
      <c r="C20" s="17" t="s">
        <v>133</v>
      </c>
      <c r="D20" s="207" cm="1">
        <f t="array" ref="D20:W20">ROUNDUP((busy_hour_call_attempts/max_load)/proxy_cscf_hardware,0)*redundancy</f>
        <v>2</v>
      </c>
      <c r="E20" s="5">
        <v>2</v>
      </c>
      <c r="F20" s="5">
        <v>2</v>
      </c>
      <c r="G20" s="5">
        <v>2</v>
      </c>
      <c r="H20" s="5">
        <v>2</v>
      </c>
      <c r="I20" s="5">
        <v>2</v>
      </c>
      <c r="J20" s="5">
        <v>2</v>
      </c>
      <c r="K20" s="5">
        <v>2</v>
      </c>
      <c r="L20" s="5">
        <v>2</v>
      </c>
      <c r="M20" s="5">
        <v>2</v>
      </c>
      <c r="N20" s="5">
        <v>2</v>
      </c>
      <c r="O20" s="5">
        <v>2</v>
      </c>
      <c r="P20" s="5">
        <v>2</v>
      </c>
      <c r="Q20" s="5">
        <v>2</v>
      </c>
      <c r="R20" s="5">
        <v>2</v>
      </c>
      <c r="S20" s="5">
        <v>2</v>
      </c>
      <c r="T20" s="5">
        <v>2</v>
      </c>
      <c r="U20" s="5">
        <v>2</v>
      </c>
      <c r="V20" s="5">
        <v>2</v>
      </c>
      <c r="W20" s="5">
        <v>2</v>
      </c>
      <c r="X20" s="178"/>
      <c r="Y20" s="178"/>
      <c r="Z20" s="207" cm="1">
        <f t="array" ref="Z20:AS20">ROUNDUP((busy_hour_call_attempts_noincoming/max_load)/proxy_cscf_hardware,0)*redundancy</f>
        <v>2</v>
      </c>
      <c r="AA20" s="5">
        <v>2</v>
      </c>
      <c r="AB20" s="5">
        <v>2</v>
      </c>
      <c r="AC20" s="5">
        <v>2</v>
      </c>
      <c r="AD20" s="5">
        <v>2</v>
      </c>
      <c r="AE20" s="5">
        <v>2</v>
      </c>
      <c r="AF20" s="5">
        <v>2</v>
      </c>
      <c r="AG20" s="5">
        <v>2</v>
      </c>
      <c r="AH20" s="5">
        <v>2</v>
      </c>
      <c r="AI20" s="5">
        <v>2</v>
      </c>
      <c r="AJ20" s="5">
        <v>2</v>
      </c>
      <c r="AK20" s="5">
        <v>2</v>
      </c>
      <c r="AL20" s="5">
        <v>2</v>
      </c>
      <c r="AM20" s="5">
        <v>2</v>
      </c>
      <c r="AN20" s="5">
        <v>2</v>
      </c>
      <c r="AO20" s="5">
        <v>2</v>
      </c>
      <c r="AP20" s="5">
        <v>2</v>
      </c>
      <c r="AQ20" s="5">
        <v>2</v>
      </c>
      <c r="AR20" s="5">
        <v>2</v>
      </c>
      <c r="AS20" s="5">
        <v>2</v>
      </c>
    </row>
    <row r="21" spans="1:49" x14ac:dyDescent="0.35">
      <c r="A21" s="7" t="s">
        <v>139</v>
      </c>
      <c r="B21" s="7" t="str">
        <f>'2 Dimensioning'!B44</f>
        <v>Busy hour call attempts</v>
      </c>
      <c r="C21" s="17" t="s">
        <v>133</v>
      </c>
      <c r="D21" s="207" cm="1">
        <f t="array" ref="D21:W21">ROUNDUP((busy_hour_call_attempts/max_load)/proxy_cscf_software,0)*redundancy</f>
        <v>1714</v>
      </c>
      <c r="E21" s="5">
        <v>1374</v>
      </c>
      <c r="F21" s="5">
        <v>1370</v>
      </c>
      <c r="G21" s="5">
        <v>1250</v>
      </c>
      <c r="H21" s="5">
        <v>1250</v>
      </c>
      <c r="I21" s="5">
        <v>1250</v>
      </c>
      <c r="J21" s="5">
        <v>1250</v>
      </c>
      <c r="K21" s="5">
        <v>1250</v>
      </c>
      <c r="L21" s="5">
        <v>1250</v>
      </c>
      <c r="M21" s="5">
        <v>1250</v>
      </c>
      <c r="N21" s="5">
        <v>1250</v>
      </c>
      <c r="O21" s="5">
        <v>1250</v>
      </c>
      <c r="P21" s="5">
        <v>1250</v>
      </c>
      <c r="Q21" s="5">
        <v>1250</v>
      </c>
      <c r="R21" s="5">
        <v>1250</v>
      </c>
      <c r="S21" s="5">
        <v>1250</v>
      </c>
      <c r="T21" s="5">
        <v>1250</v>
      </c>
      <c r="U21" s="5">
        <v>1250</v>
      </c>
      <c r="V21" s="5">
        <v>1250</v>
      </c>
      <c r="W21" s="5">
        <v>1250</v>
      </c>
      <c r="X21" s="178"/>
      <c r="Y21" s="178"/>
      <c r="Z21" s="207" cm="1">
        <f t="array" ref="Z21:AS21">ROUNDUP((busy_hour_call_attempts_noincoming/max_load)/proxy_cscf_software,0)*redundancy</f>
        <v>1266</v>
      </c>
      <c r="AA21" s="5">
        <v>968</v>
      </c>
      <c r="AB21" s="5">
        <v>952</v>
      </c>
      <c r="AC21" s="5">
        <v>872</v>
      </c>
      <c r="AD21" s="5">
        <v>872</v>
      </c>
      <c r="AE21" s="5">
        <v>872</v>
      </c>
      <c r="AF21" s="5">
        <v>872</v>
      </c>
      <c r="AG21" s="5">
        <v>872</v>
      </c>
      <c r="AH21" s="5">
        <v>872</v>
      </c>
      <c r="AI21" s="5">
        <v>872</v>
      </c>
      <c r="AJ21" s="5">
        <v>872</v>
      </c>
      <c r="AK21" s="5">
        <v>872</v>
      </c>
      <c r="AL21" s="5">
        <v>872</v>
      </c>
      <c r="AM21" s="5">
        <v>872</v>
      </c>
      <c r="AN21" s="5">
        <v>872</v>
      </c>
      <c r="AO21" s="5">
        <v>872</v>
      </c>
      <c r="AP21" s="5">
        <v>872</v>
      </c>
      <c r="AQ21" s="5">
        <v>872</v>
      </c>
      <c r="AR21" s="5">
        <v>872</v>
      </c>
      <c r="AS21" s="5">
        <v>872</v>
      </c>
    </row>
    <row r="22" spans="1:49" x14ac:dyDescent="0.35">
      <c r="A22" s="7" t="s">
        <v>140</v>
      </c>
      <c r="B22" s="7" t="str">
        <f>'2 Dimensioning'!B45</f>
        <v>Busy hour call attempts</v>
      </c>
      <c r="C22" s="17" t="s">
        <v>133</v>
      </c>
      <c r="D22" s="207" cm="1">
        <f t="array" ref="D22:W22">ROUNDUP((busy_hour_call_attempts/max_load)/interr_cscf_hardware,0)*redundancy</f>
        <v>2</v>
      </c>
      <c r="E22" s="5">
        <v>2</v>
      </c>
      <c r="F22" s="5">
        <v>2</v>
      </c>
      <c r="G22" s="5">
        <v>2</v>
      </c>
      <c r="H22" s="5">
        <v>2</v>
      </c>
      <c r="I22" s="5">
        <v>2</v>
      </c>
      <c r="J22" s="5">
        <v>2</v>
      </c>
      <c r="K22" s="5">
        <v>2</v>
      </c>
      <c r="L22" s="5">
        <v>2</v>
      </c>
      <c r="M22" s="5">
        <v>2</v>
      </c>
      <c r="N22" s="5">
        <v>2</v>
      </c>
      <c r="O22" s="5">
        <v>2</v>
      </c>
      <c r="P22" s="5">
        <v>2</v>
      </c>
      <c r="Q22" s="5">
        <v>2</v>
      </c>
      <c r="R22" s="5">
        <v>2</v>
      </c>
      <c r="S22" s="5">
        <v>2</v>
      </c>
      <c r="T22" s="5">
        <v>2</v>
      </c>
      <c r="U22" s="5">
        <v>2</v>
      </c>
      <c r="V22" s="5">
        <v>2</v>
      </c>
      <c r="W22" s="5">
        <v>2</v>
      </c>
      <c r="Z22" s="207" cm="1">
        <f t="array" ref="Z22:AS22">ROUNDUP((busy_hour_call_attempts_noincoming/max_load)/interr_cscf_hardware,0)*redundancy</f>
        <v>2</v>
      </c>
      <c r="AA22" s="5">
        <v>2</v>
      </c>
      <c r="AB22" s="5">
        <v>2</v>
      </c>
      <c r="AC22" s="5">
        <v>2</v>
      </c>
      <c r="AD22" s="5">
        <v>2</v>
      </c>
      <c r="AE22" s="5">
        <v>2</v>
      </c>
      <c r="AF22" s="5">
        <v>2</v>
      </c>
      <c r="AG22" s="5">
        <v>2</v>
      </c>
      <c r="AH22" s="5">
        <v>2</v>
      </c>
      <c r="AI22" s="5">
        <v>2</v>
      </c>
      <c r="AJ22" s="5">
        <v>2</v>
      </c>
      <c r="AK22" s="5">
        <v>2</v>
      </c>
      <c r="AL22" s="5">
        <v>2</v>
      </c>
      <c r="AM22" s="5">
        <v>2</v>
      </c>
      <c r="AN22" s="5">
        <v>2</v>
      </c>
      <c r="AO22" s="5">
        <v>2</v>
      </c>
      <c r="AP22" s="5">
        <v>2</v>
      </c>
      <c r="AQ22" s="5">
        <v>2</v>
      </c>
      <c r="AR22" s="5">
        <v>2</v>
      </c>
      <c r="AS22" s="5">
        <v>2</v>
      </c>
    </row>
    <row r="23" spans="1:49" x14ac:dyDescent="0.35">
      <c r="A23" s="7" t="s">
        <v>141</v>
      </c>
      <c r="B23" s="7" t="str">
        <f>'2 Dimensioning'!B46</f>
        <v>Busy hour call attempts</v>
      </c>
      <c r="C23" s="17" t="s">
        <v>133</v>
      </c>
      <c r="D23" s="207" cm="1">
        <f t="array" ref="D23:W23">ROUNDUP((busy_hour_call_attempts/max_load)/interr_cscf_software,0)*redundancy</f>
        <v>1714</v>
      </c>
      <c r="E23" s="5">
        <v>1374</v>
      </c>
      <c r="F23" s="5">
        <v>1370</v>
      </c>
      <c r="G23" s="5">
        <v>1250</v>
      </c>
      <c r="H23" s="5">
        <v>1250</v>
      </c>
      <c r="I23" s="5">
        <v>1250</v>
      </c>
      <c r="J23" s="5">
        <v>1250</v>
      </c>
      <c r="K23" s="5">
        <v>1250</v>
      </c>
      <c r="L23" s="5">
        <v>1250</v>
      </c>
      <c r="M23" s="5">
        <v>1250</v>
      </c>
      <c r="N23" s="5">
        <v>1250</v>
      </c>
      <c r="O23" s="5">
        <v>1250</v>
      </c>
      <c r="P23" s="5">
        <v>1250</v>
      </c>
      <c r="Q23" s="5">
        <v>1250</v>
      </c>
      <c r="R23" s="5">
        <v>1250</v>
      </c>
      <c r="S23" s="5">
        <v>1250</v>
      </c>
      <c r="T23" s="5">
        <v>1250</v>
      </c>
      <c r="U23" s="5">
        <v>1250</v>
      </c>
      <c r="V23" s="5">
        <v>1250</v>
      </c>
      <c r="W23" s="5">
        <v>1250</v>
      </c>
      <c r="X23" s="80"/>
      <c r="Z23" s="207" cm="1">
        <f t="array" ref="Z23:AS23">ROUNDUP((busy_hour_call_attempts_noincoming/max_load)/interr_cscf_software,0)*redundancy</f>
        <v>1266</v>
      </c>
      <c r="AA23" s="5">
        <v>968</v>
      </c>
      <c r="AB23" s="5">
        <v>952</v>
      </c>
      <c r="AC23" s="5">
        <v>872</v>
      </c>
      <c r="AD23" s="5">
        <v>872</v>
      </c>
      <c r="AE23" s="5">
        <v>872</v>
      </c>
      <c r="AF23" s="5">
        <v>872</v>
      </c>
      <c r="AG23" s="5">
        <v>872</v>
      </c>
      <c r="AH23" s="5">
        <v>872</v>
      </c>
      <c r="AI23" s="5">
        <v>872</v>
      </c>
      <c r="AJ23" s="5">
        <v>872</v>
      </c>
      <c r="AK23" s="5">
        <v>872</v>
      </c>
      <c r="AL23" s="5">
        <v>872</v>
      </c>
      <c r="AM23" s="5">
        <v>872</v>
      </c>
      <c r="AN23" s="5">
        <v>872</v>
      </c>
      <c r="AO23" s="5">
        <v>872</v>
      </c>
      <c r="AP23" s="5">
        <v>872</v>
      </c>
      <c r="AQ23" s="5">
        <v>872</v>
      </c>
      <c r="AR23" s="5">
        <v>872</v>
      </c>
      <c r="AS23" s="5">
        <v>872</v>
      </c>
    </row>
    <row r="24" spans="1:49" x14ac:dyDescent="0.35">
      <c r="A24" s="7" t="s">
        <v>142</v>
      </c>
      <c r="B24" s="7" t="str">
        <f>'2 Dimensioning'!B47</f>
        <v>Busy hour call attempts</v>
      </c>
      <c r="C24" s="17" t="s">
        <v>133</v>
      </c>
      <c r="D24" s="207" cm="1">
        <f t="array" ref="D24:W24">ROUNDUP((busy_hour_call_attempts/max_load)/serve_cscf_hardware,0)*redundancy</f>
        <v>2</v>
      </c>
      <c r="E24" s="5">
        <v>2</v>
      </c>
      <c r="F24" s="5">
        <v>2</v>
      </c>
      <c r="G24" s="5">
        <v>2</v>
      </c>
      <c r="H24" s="5">
        <v>2</v>
      </c>
      <c r="I24" s="5">
        <v>2</v>
      </c>
      <c r="J24" s="5">
        <v>2</v>
      </c>
      <c r="K24" s="5">
        <v>2</v>
      </c>
      <c r="L24" s="5">
        <v>2</v>
      </c>
      <c r="M24" s="5">
        <v>2</v>
      </c>
      <c r="N24" s="5">
        <v>2</v>
      </c>
      <c r="O24" s="5">
        <v>2</v>
      </c>
      <c r="P24" s="5">
        <v>2</v>
      </c>
      <c r="Q24" s="5">
        <v>2</v>
      </c>
      <c r="R24" s="5">
        <v>2</v>
      </c>
      <c r="S24" s="5">
        <v>2</v>
      </c>
      <c r="T24" s="5">
        <v>2</v>
      </c>
      <c r="U24" s="5">
        <v>2</v>
      </c>
      <c r="V24" s="5">
        <v>2</v>
      </c>
      <c r="W24" s="5">
        <v>2</v>
      </c>
      <c r="X24" s="80"/>
      <c r="Z24" s="207" cm="1">
        <f t="array" ref="Z24:AS24">ROUNDUP((busy_hour_call_attempts_noincoming/max_load)/serve_cscf_hardware,0)*redundancy</f>
        <v>2</v>
      </c>
      <c r="AA24" s="5">
        <v>2</v>
      </c>
      <c r="AB24" s="5">
        <v>2</v>
      </c>
      <c r="AC24" s="5">
        <v>2</v>
      </c>
      <c r="AD24" s="5">
        <v>2</v>
      </c>
      <c r="AE24" s="5">
        <v>2</v>
      </c>
      <c r="AF24" s="5">
        <v>2</v>
      </c>
      <c r="AG24" s="5">
        <v>2</v>
      </c>
      <c r="AH24" s="5">
        <v>2</v>
      </c>
      <c r="AI24" s="5">
        <v>2</v>
      </c>
      <c r="AJ24" s="5">
        <v>2</v>
      </c>
      <c r="AK24" s="5">
        <v>2</v>
      </c>
      <c r="AL24" s="5">
        <v>2</v>
      </c>
      <c r="AM24" s="5">
        <v>2</v>
      </c>
      <c r="AN24" s="5">
        <v>2</v>
      </c>
      <c r="AO24" s="5">
        <v>2</v>
      </c>
      <c r="AP24" s="5">
        <v>2</v>
      </c>
      <c r="AQ24" s="5">
        <v>2</v>
      </c>
      <c r="AR24" s="5">
        <v>2</v>
      </c>
      <c r="AS24" s="5">
        <v>2</v>
      </c>
    </row>
    <row r="25" spans="1:49" x14ac:dyDescent="0.35">
      <c r="A25" s="7" t="s">
        <v>143</v>
      </c>
      <c r="B25" s="7" t="str">
        <f>'2 Dimensioning'!B48</f>
        <v>Busy hour call attempts</v>
      </c>
      <c r="C25" s="17" t="s">
        <v>133</v>
      </c>
      <c r="D25" s="207" cm="1">
        <f t="array" ref="D25:W25">ROUNDUP((busy_hour_call_attempts/max_load)/serve_cscf_software,0)*redundancy</f>
        <v>1714</v>
      </c>
      <c r="E25" s="5">
        <v>1374</v>
      </c>
      <c r="F25" s="5">
        <v>1370</v>
      </c>
      <c r="G25" s="5">
        <v>1250</v>
      </c>
      <c r="H25" s="5">
        <v>1250</v>
      </c>
      <c r="I25" s="5">
        <v>1250</v>
      </c>
      <c r="J25" s="5">
        <v>1250</v>
      </c>
      <c r="K25" s="5">
        <v>1250</v>
      </c>
      <c r="L25" s="5">
        <v>1250</v>
      </c>
      <c r="M25" s="5">
        <v>1250</v>
      </c>
      <c r="N25" s="5">
        <v>1250</v>
      </c>
      <c r="O25" s="5">
        <v>1250</v>
      </c>
      <c r="P25" s="5">
        <v>1250</v>
      </c>
      <c r="Q25" s="5">
        <v>1250</v>
      </c>
      <c r="R25" s="5">
        <v>1250</v>
      </c>
      <c r="S25" s="5">
        <v>1250</v>
      </c>
      <c r="T25" s="5">
        <v>1250</v>
      </c>
      <c r="U25" s="5">
        <v>1250</v>
      </c>
      <c r="V25" s="5">
        <v>1250</v>
      </c>
      <c r="W25" s="5">
        <v>1250</v>
      </c>
      <c r="Z25" s="207" cm="1">
        <f t="array" ref="Z25:AS25">ROUNDUP((busy_hour_call_attempts_noincoming/max_load)/serve_cscf_software,0)*redundancy</f>
        <v>1266</v>
      </c>
      <c r="AA25" s="5">
        <v>968</v>
      </c>
      <c r="AB25" s="5">
        <v>952</v>
      </c>
      <c r="AC25" s="5">
        <v>872</v>
      </c>
      <c r="AD25" s="5">
        <v>872</v>
      </c>
      <c r="AE25" s="5">
        <v>872</v>
      </c>
      <c r="AF25" s="5">
        <v>872</v>
      </c>
      <c r="AG25" s="5">
        <v>872</v>
      </c>
      <c r="AH25" s="5">
        <v>872</v>
      </c>
      <c r="AI25" s="5">
        <v>872</v>
      </c>
      <c r="AJ25" s="5">
        <v>872</v>
      </c>
      <c r="AK25" s="5">
        <v>872</v>
      </c>
      <c r="AL25" s="5">
        <v>872</v>
      </c>
      <c r="AM25" s="5">
        <v>872</v>
      </c>
      <c r="AN25" s="5">
        <v>872</v>
      </c>
      <c r="AO25" s="5">
        <v>872</v>
      </c>
      <c r="AP25" s="5">
        <v>872</v>
      </c>
      <c r="AQ25" s="5">
        <v>872</v>
      </c>
      <c r="AR25" s="5">
        <v>872</v>
      </c>
      <c r="AS25" s="5">
        <v>872</v>
      </c>
    </row>
    <row r="26" spans="1:49" x14ac:dyDescent="0.35">
      <c r="A26" s="7" t="s">
        <v>144</v>
      </c>
      <c r="B26" s="7" t="str">
        <f>'2 Dimensioning'!B49</f>
        <v xml:space="preserve">Concurrent sessions </v>
      </c>
      <c r="C26" s="17" t="s">
        <v>133</v>
      </c>
      <c r="D26" s="207" cm="1">
        <f t="array" ref="D26:W26">ROUNDUP((fixed_calls_persecond_onnet_factor/max_load)/mrf_hardware,0)*redundancy</f>
        <v>14</v>
      </c>
      <c r="E26" s="5">
        <v>12</v>
      </c>
      <c r="F26" s="5">
        <v>10</v>
      </c>
      <c r="G26" s="5">
        <v>10</v>
      </c>
      <c r="H26" s="5">
        <v>10</v>
      </c>
      <c r="I26" s="5">
        <v>10</v>
      </c>
      <c r="J26" s="5">
        <v>10</v>
      </c>
      <c r="K26" s="5">
        <v>10</v>
      </c>
      <c r="L26" s="5">
        <v>10</v>
      </c>
      <c r="M26" s="5">
        <v>10</v>
      </c>
      <c r="N26" s="5">
        <v>10</v>
      </c>
      <c r="O26" s="5">
        <v>10</v>
      </c>
      <c r="P26" s="5">
        <v>10</v>
      </c>
      <c r="Q26" s="5">
        <v>10</v>
      </c>
      <c r="R26" s="5">
        <v>10</v>
      </c>
      <c r="S26" s="5">
        <v>10</v>
      </c>
      <c r="T26" s="5">
        <v>10</v>
      </c>
      <c r="U26" s="5">
        <v>10</v>
      </c>
      <c r="V26" s="5">
        <v>10</v>
      </c>
      <c r="W26" s="5">
        <v>10</v>
      </c>
      <c r="Z26" s="207" cm="1">
        <f t="array" ref="Z26:AS26">ROUNDUP((fixed_calls_persecond_noincoming/max_load)/mrf_hardware,0)*redundancy</f>
        <v>8</v>
      </c>
      <c r="AA26" s="5">
        <v>8</v>
      </c>
      <c r="AB26" s="5">
        <v>6</v>
      </c>
      <c r="AC26" s="5">
        <v>6</v>
      </c>
      <c r="AD26" s="5">
        <v>6</v>
      </c>
      <c r="AE26" s="5">
        <v>6</v>
      </c>
      <c r="AF26" s="5">
        <v>6</v>
      </c>
      <c r="AG26" s="5">
        <v>6</v>
      </c>
      <c r="AH26" s="5">
        <v>6</v>
      </c>
      <c r="AI26" s="5">
        <v>6</v>
      </c>
      <c r="AJ26" s="5">
        <v>6</v>
      </c>
      <c r="AK26" s="5">
        <v>6</v>
      </c>
      <c r="AL26" s="5">
        <v>6</v>
      </c>
      <c r="AM26" s="5">
        <v>6</v>
      </c>
      <c r="AN26" s="5">
        <v>6</v>
      </c>
      <c r="AO26" s="5">
        <v>6</v>
      </c>
      <c r="AP26" s="5">
        <v>6</v>
      </c>
      <c r="AQ26" s="5">
        <v>6</v>
      </c>
      <c r="AR26" s="5">
        <v>6</v>
      </c>
      <c r="AS26" s="5">
        <v>6</v>
      </c>
    </row>
    <row r="27" spans="1:49" x14ac:dyDescent="0.35">
      <c r="A27" s="7" t="s">
        <v>145</v>
      </c>
      <c r="B27" s="7" t="str">
        <f>'2 Dimensioning'!B50</f>
        <v xml:space="preserve">Concurrent sessions </v>
      </c>
      <c r="C27" s="17" t="s">
        <v>133</v>
      </c>
      <c r="D27" s="207" cm="1">
        <f t="array" ref="D27:W27">ROUNDUP((fixed_calls_persecond_onnet_factor/max_load)/mrf_software,0)*redundancy</f>
        <v>136710</v>
      </c>
      <c r="E27" s="5">
        <v>110344</v>
      </c>
      <c r="F27" s="5">
        <v>107822</v>
      </c>
      <c r="G27" s="5">
        <v>97932</v>
      </c>
      <c r="H27" s="5">
        <v>97932</v>
      </c>
      <c r="I27" s="5">
        <v>97932</v>
      </c>
      <c r="J27" s="5">
        <v>97932</v>
      </c>
      <c r="K27" s="5">
        <v>97932</v>
      </c>
      <c r="L27" s="5">
        <v>97932</v>
      </c>
      <c r="M27" s="5">
        <v>97932</v>
      </c>
      <c r="N27" s="5">
        <v>97932</v>
      </c>
      <c r="O27" s="5">
        <v>97932</v>
      </c>
      <c r="P27" s="5">
        <v>97932</v>
      </c>
      <c r="Q27" s="5">
        <v>97932</v>
      </c>
      <c r="R27" s="5">
        <v>97932</v>
      </c>
      <c r="S27" s="5">
        <v>97932</v>
      </c>
      <c r="T27" s="5">
        <v>97932</v>
      </c>
      <c r="U27" s="5">
        <v>97932</v>
      </c>
      <c r="V27" s="5">
        <v>97932</v>
      </c>
      <c r="W27" s="5">
        <v>97932</v>
      </c>
      <c r="Z27" s="207" cm="1">
        <f t="array" ref="Z27:AS27">ROUNDUP((fixed_calls_persecond_onnet_factor_noincoming/max_load)/mrf_software,0)*redundancy</f>
        <v>106550</v>
      </c>
      <c r="AA27" s="5">
        <v>83060</v>
      </c>
      <c r="AB27" s="5">
        <v>79602</v>
      </c>
      <c r="AC27" s="5">
        <v>72418</v>
      </c>
      <c r="AD27" s="5">
        <v>72418</v>
      </c>
      <c r="AE27" s="5">
        <v>72418</v>
      </c>
      <c r="AF27" s="5">
        <v>72418</v>
      </c>
      <c r="AG27" s="5">
        <v>72418</v>
      </c>
      <c r="AH27" s="5">
        <v>72418</v>
      </c>
      <c r="AI27" s="5">
        <v>72418</v>
      </c>
      <c r="AJ27" s="5">
        <v>72418</v>
      </c>
      <c r="AK27" s="5">
        <v>72418</v>
      </c>
      <c r="AL27" s="5">
        <v>72418</v>
      </c>
      <c r="AM27" s="5">
        <v>72418</v>
      </c>
      <c r="AN27" s="5">
        <v>72418</v>
      </c>
      <c r="AO27" s="5">
        <v>72418</v>
      </c>
      <c r="AP27" s="5">
        <v>72418</v>
      </c>
      <c r="AQ27" s="5">
        <v>72418</v>
      </c>
      <c r="AR27" s="5">
        <v>72418</v>
      </c>
      <c r="AS27" s="5">
        <v>72418</v>
      </c>
    </row>
    <row r="28" spans="1:49" x14ac:dyDescent="0.35">
      <c r="A28" s="7" t="s">
        <v>146</v>
      </c>
      <c r="B28" s="7" t="str">
        <f>'2 Dimensioning'!B51</f>
        <v xml:space="preserve">Concurrent sessions </v>
      </c>
      <c r="C28" s="17" t="s">
        <v>133</v>
      </c>
      <c r="D28" s="207" cm="1">
        <f t="array" ref="D28:W28">ROUNDUP((fixed_calls_persecond_onnet_factor/max_load)/access_sbc_hardware,0)*redundancy</f>
        <v>6</v>
      </c>
      <c r="E28" s="5">
        <v>4</v>
      </c>
      <c r="F28" s="5">
        <v>4</v>
      </c>
      <c r="G28" s="5">
        <v>4</v>
      </c>
      <c r="H28" s="5">
        <v>4</v>
      </c>
      <c r="I28" s="5">
        <v>4</v>
      </c>
      <c r="J28" s="5">
        <v>4</v>
      </c>
      <c r="K28" s="5">
        <v>4</v>
      </c>
      <c r="L28" s="5">
        <v>4</v>
      </c>
      <c r="M28" s="5">
        <v>4</v>
      </c>
      <c r="N28" s="5">
        <v>4</v>
      </c>
      <c r="O28" s="5">
        <v>4</v>
      </c>
      <c r="P28" s="5">
        <v>4</v>
      </c>
      <c r="Q28" s="5">
        <v>4</v>
      </c>
      <c r="R28" s="5">
        <v>4</v>
      </c>
      <c r="S28" s="5">
        <v>4</v>
      </c>
      <c r="T28" s="5">
        <v>4</v>
      </c>
      <c r="U28" s="5">
        <v>4</v>
      </c>
      <c r="V28" s="5">
        <v>4</v>
      </c>
      <c r="W28" s="5">
        <v>4</v>
      </c>
      <c r="Z28" s="207" cm="1">
        <f t="array" ref="Z28:AS28">ROUNDUP((fixed_calls_persecond_onnet_factor_noincoming/max_load)/access_sbc_hardware,0)*redundancy</f>
        <v>4</v>
      </c>
      <c r="AA28" s="5">
        <v>4</v>
      </c>
      <c r="AB28" s="5">
        <v>4</v>
      </c>
      <c r="AC28" s="5">
        <v>4</v>
      </c>
      <c r="AD28" s="5">
        <v>4</v>
      </c>
      <c r="AE28" s="5">
        <v>4</v>
      </c>
      <c r="AF28" s="5">
        <v>4</v>
      </c>
      <c r="AG28" s="5">
        <v>4</v>
      </c>
      <c r="AH28" s="5">
        <v>4</v>
      </c>
      <c r="AI28" s="5">
        <v>4</v>
      </c>
      <c r="AJ28" s="5">
        <v>4</v>
      </c>
      <c r="AK28" s="5">
        <v>4</v>
      </c>
      <c r="AL28" s="5">
        <v>4</v>
      </c>
      <c r="AM28" s="5">
        <v>4</v>
      </c>
      <c r="AN28" s="5">
        <v>4</v>
      </c>
      <c r="AO28" s="5">
        <v>4</v>
      </c>
      <c r="AP28" s="5">
        <v>4</v>
      </c>
      <c r="AQ28" s="5">
        <v>4</v>
      </c>
      <c r="AR28" s="5">
        <v>4</v>
      </c>
      <c r="AS28" s="5">
        <v>4</v>
      </c>
    </row>
    <row r="29" spans="1:49" x14ac:dyDescent="0.35">
      <c r="A29" s="7" t="s">
        <v>147</v>
      </c>
      <c r="B29" s="7" t="str">
        <f>'2 Dimensioning'!B52</f>
        <v xml:space="preserve">Concurrent sessions </v>
      </c>
      <c r="C29" s="17" t="s">
        <v>133</v>
      </c>
      <c r="D29" s="207" cm="1">
        <f t="array" ref="D29:W29">ROUNDUP((fixed_calls_persecond_onnet_factor/max_load)/access_sbc_software,0)*redundancy</f>
        <v>10</v>
      </c>
      <c r="E29" s="5">
        <v>8</v>
      </c>
      <c r="F29" s="5">
        <v>8</v>
      </c>
      <c r="G29" s="5">
        <v>8</v>
      </c>
      <c r="H29" s="5">
        <v>8</v>
      </c>
      <c r="I29" s="5">
        <v>8</v>
      </c>
      <c r="J29" s="5">
        <v>8</v>
      </c>
      <c r="K29" s="5">
        <v>8</v>
      </c>
      <c r="L29" s="5">
        <v>8</v>
      </c>
      <c r="M29" s="5">
        <v>8</v>
      </c>
      <c r="N29" s="5">
        <v>8</v>
      </c>
      <c r="O29" s="5">
        <v>8</v>
      </c>
      <c r="P29" s="5">
        <v>8</v>
      </c>
      <c r="Q29" s="5">
        <v>8</v>
      </c>
      <c r="R29" s="5">
        <v>8</v>
      </c>
      <c r="S29" s="5">
        <v>8</v>
      </c>
      <c r="T29" s="5">
        <v>8</v>
      </c>
      <c r="U29" s="5">
        <v>8</v>
      </c>
      <c r="V29" s="5">
        <v>8</v>
      </c>
      <c r="W29" s="5">
        <v>8</v>
      </c>
      <c r="Z29" s="207" cm="1">
        <f t="array" ref="Z29:AS29">ROUNDUP((fixed_calls_persecond_onnet_factor_noincoming/max_load)/access_sbc_software,0)*redundancy</f>
        <v>8</v>
      </c>
      <c r="AA29" s="5">
        <v>6</v>
      </c>
      <c r="AB29" s="5">
        <v>6</v>
      </c>
      <c r="AC29" s="5">
        <v>6</v>
      </c>
      <c r="AD29" s="5">
        <v>6</v>
      </c>
      <c r="AE29" s="5">
        <v>6</v>
      </c>
      <c r="AF29" s="5">
        <v>6</v>
      </c>
      <c r="AG29" s="5">
        <v>6</v>
      </c>
      <c r="AH29" s="5">
        <v>6</v>
      </c>
      <c r="AI29" s="5">
        <v>6</v>
      </c>
      <c r="AJ29" s="5">
        <v>6</v>
      </c>
      <c r="AK29" s="5">
        <v>6</v>
      </c>
      <c r="AL29" s="5">
        <v>6</v>
      </c>
      <c r="AM29" s="5">
        <v>6</v>
      </c>
      <c r="AN29" s="5">
        <v>6</v>
      </c>
      <c r="AO29" s="5">
        <v>6</v>
      </c>
      <c r="AP29" s="5">
        <v>6</v>
      </c>
      <c r="AQ29" s="5">
        <v>6</v>
      </c>
      <c r="AR29" s="5">
        <v>6</v>
      </c>
      <c r="AS29" s="5">
        <v>6</v>
      </c>
    </row>
    <row r="30" spans="1:49" x14ac:dyDescent="0.35">
      <c r="A30" s="7" t="s">
        <v>148</v>
      </c>
      <c r="B30" s="7" t="str">
        <f>'2 Dimensioning'!B53</f>
        <v xml:space="preserve">Concurrent sessions </v>
      </c>
      <c r="C30" s="17" t="s">
        <v>136</v>
      </c>
      <c r="D30" s="207" cm="1">
        <f t="array" ref="D30:W30">ROUNDUP((fixed_calls_persecond/max_load)/ix_sbc_hardware,0)*redundancy</f>
        <v>4</v>
      </c>
      <c r="E30" s="5">
        <v>4</v>
      </c>
      <c r="F30" s="5">
        <v>4</v>
      </c>
      <c r="G30" s="5">
        <v>4</v>
      </c>
      <c r="H30" s="5">
        <v>4</v>
      </c>
      <c r="I30" s="5">
        <v>4</v>
      </c>
      <c r="J30" s="5">
        <v>4</v>
      </c>
      <c r="K30" s="5">
        <v>4</v>
      </c>
      <c r="L30" s="5">
        <v>4</v>
      </c>
      <c r="M30" s="5">
        <v>4</v>
      </c>
      <c r="N30" s="5">
        <v>4</v>
      </c>
      <c r="O30" s="5">
        <v>4</v>
      </c>
      <c r="P30" s="5">
        <v>4</v>
      </c>
      <c r="Q30" s="5">
        <v>4</v>
      </c>
      <c r="R30" s="5">
        <v>4</v>
      </c>
      <c r="S30" s="5">
        <v>4</v>
      </c>
      <c r="T30" s="5">
        <v>4</v>
      </c>
      <c r="U30" s="5">
        <v>4</v>
      </c>
      <c r="V30" s="5">
        <v>4</v>
      </c>
      <c r="W30" s="5">
        <v>4</v>
      </c>
      <c r="Z30" s="207" cm="1">
        <f t="array" ref="Z30:AS30">ROUNDUP((fixed_calls_persecond_noincoming/max_load)/ix_sbc_hardware,0)*redundancy</f>
        <v>4</v>
      </c>
      <c r="AA30" s="5">
        <v>4</v>
      </c>
      <c r="AB30" s="5">
        <v>4</v>
      </c>
      <c r="AC30" s="5">
        <v>2</v>
      </c>
      <c r="AD30" s="5">
        <v>2</v>
      </c>
      <c r="AE30" s="5">
        <v>2</v>
      </c>
      <c r="AF30" s="5">
        <v>2</v>
      </c>
      <c r="AG30" s="5">
        <v>2</v>
      </c>
      <c r="AH30" s="5">
        <v>2</v>
      </c>
      <c r="AI30" s="5">
        <v>2</v>
      </c>
      <c r="AJ30" s="5">
        <v>2</v>
      </c>
      <c r="AK30" s="5">
        <v>2</v>
      </c>
      <c r="AL30" s="5">
        <v>2</v>
      </c>
      <c r="AM30" s="5">
        <v>2</v>
      </c>
      <c r="AN30" s="5">
        <v>2</v>
      </c>
      <c r="AO30" s="5">
        <v>2</v>
      </c>
      <c r="AP30" s="5">
        <v>2</v>
      </c>
      <c r="AQ30" s="5">
        <v>2</v>
      </c>
      <c r="AR30" s="5">
        <v>2</v>
      </c>
      <c r="AS30" s="5">
        <v>2</v>
      </c>
    </row>
    <row r="31" spans="1:49" x14ac:dyDescent="0.35">
      <c r="A31" s="7" t="s">
        <v>149</v>
      </c>
      <c r="B31" s="7" t="str">
        <f>'2 Dimensioning'!B54</f>
        <v xml:space="preserve">Concurrent sessions </v>
      </c>
      <c r="C31" s="17" t="s">
        <v>136</v>
      </c>
      <c r="D31" s="207" cm="1">
        <f t="array" ref="D31:W31">ROUNDUP((fixed_calls_persecond/max_load)/ix_sbc_software,0)*redundancy</f>
        <v>8</v>
      </c>
      <c r="E31" s="5">
        <v>6</v>
      </c>
      <c r="F31" s="5">
        <v>6</v>
      </c>
      <c r="G31" s="5">
        <v>6</v>
      </c>
      <c r="H31" s="5">
        <v>6</v>
      </c>
      <c r="I31" s="5">
        <v>6</v>
      </c>
      <c r="J31" s="5">
        <v>6</v>
      </c>
      <c r="K31" s="5">
        <v>6</v>
      </c>
      <c r="L31" s="5">
        <v>6</v>
      </c>
      <c r="M31" s="5">
        <v>6</v>
      </c>
      <c r="N31" s="5">
        <v>6</v>
      </c>
      <c r="O31" s="5">
        <v>6</v>
      </c>
      <c r="P31" s="5">
        <v>6</v>
      </c>
      <c r="Q31" s="5">
        <v>6</v>
      </c>
      <c r="R31" s="5">
        <v>6</v>
      </c>
      <c r="S31" s="5">
        <v>6</v>
      </c>
      <c r="T31" s="5">
        <v>6</v>
      </c>
      <c r="U31" s="5">
        <v>6</v>
      </c>
      <c r="V31" s="5">
        <v>6</v>
      </c>
      <c r="W31" s="5">
        <v>6</v>
      </c>
      <c r="Z31" s="207" cm="1">
        <f t="array" ref="Z31:AS31">ROUNDUP((fixed_calls_persecond_noincoming/max_load)/ix_sbc_software,0)*redundancy</f>
        <v>6</v>
      </c>
      <c r="AA31" s="5">
        <v>6</v>
      </c>
      <c r="AB31" s="5">
        <v>6</v>
      </c>
      <c r="AC31" s="5">
        <v>4</v>
      </c>
      <c r="AD31" s="5">
        <v>4</v>
      </c>
      <c r="AE31" s="5">
        <v>4</v>
      </c>
      <c r="AF31" s="5">
        <v>4</v>
      </c>
      <c r="AG31" s="5">
        <v>4</v>
      </c>
      <c r="AH31" s="5">
        <v>4</v>
      </c>
      <c r="AI31" s="5">
        <v>4</v>
      </c>
      <c r="AJ31" s="5">
        <v>4</v>
      </c>
      <c r="AK31" s="5">
        <v>4</v>
      </c>
      <c r="AL31" s="5">
        <v>4</v>
      </c>
      <c r="AM31" s="5">
        <v>4</v>
      </c>
      <c r="AN31" s="5">
        <v>4</v>
      </c>
      <c r="AO31" s="5">
        <v>4</v>
      </c>
      <c r="AP31" s="5">
        <v>4</v>
      </c>
      <c r="AQ31" s="5">
        <v>4</v>
      </c>
      <c r="AR31" s="5">
        <v>4</v>
      </c>
      <c r="AS31" s="5">
        <v>4</v>
      </c>
      <c r="AW31" s="114"/>
    </row>
    <row r="32" spans="1:49" x14ac:dyDescent="0.35">
      <c r="A32" s="15" t="s">
        <v>150</v>
      </c>
      <c r="C32" s="15"/>
    </row>
    <row r="33" spans="1:67" x14ac:dyDescent="0.35">
      <c r="B33" s="15"/>
      <c r="C33" s="15"/>
      <c r="D33" s="15"/>
      <c r="Z33" s="15"/>
    </row>
    <row r="34" spans="1:67" x14ac:dyDescent="0.35">
      <c r="A34" s="12" t="s">
        <v>151</v>
      </c>
      <c r="B34" s="15"/>
      <c r="C34" s="15"/>
      <c r="D34" s="15"/>
      <c r="Z34" s="15"/>
    </row>
    <row r="35" spans="1:67" x14ac:dyDescent="0.35">
      <c r="B35" s="15"/>
      <c r="C35" s="15"/>
      <c r="D35" s="15"/>
      <c r="Z35" s="15"/>
    </row>
    <row r="36" spans="1:67" x14ac:dyDescent="0.35">
      <c r="A36" s="92" t="s">
        <v>362</v>
      </c>
      <c r="C36" s="15"/>
      <c r="D36" s="15"/>
      <c r="Z36" s="15"/>
    </row>
    <row r="37" spans="1:67" x14ac:dyDescent="0.35">
      <c r="B37" s="15"/>
      <c r="C37" s="15"/>
      <c r="D37" s="15"/>
      <c r="Z37" s="15"/>
    </row>
    <row r="38" spans="1:67" x14ac:dyDescent="0.35">
      <c r="A38" s="12" t="s">
        <v>367</v>
      </c>
      <c r="B38" s="15"/>
      <c r="C38" s="15"/>
      <c r="D38" s="15"/>
      <c r="Z38" s="15"/>
    </row>
    <row r="40" spans="1:67" x14ac:dyDescent="0.35">
      <c r="D40" s="48" t="s">
        <v>97</v>
      </c>
      <c r="E40" s="49"/>
      <c r="F40" s="49"/>
      <c r="G40" s="49"/>
      <c r="H40" s="49"/>
      <c r="I40" s="49"/>
      <c r="J40" s="49"/>
      <c r="K40" s="49"/>
      <c r="L40" s="49"/>
      <c r="M40" s="49"/>
      <c r="N40" s="49"/>
      <c r="O40" s="49"/>
      <c r="P40" s="49"/>
      <c r="Q40" s="49"/>
      <c r="R40" s="49"/>
      <c r="S40" s="49"/>
      <c r="T40" s="49"/>
      <c r="U40" s="49"/>
      <c r="V40" s="49"/>
      <c r="W40" s="49"/>
      <c r="Z40" s="48" t="s">
        <v>127</v>
      </c>
      <c r="AA40" s="49"/>
      <c r="AB40" s="49"/>
      <c r="AC40" s="49"/>
      <c r="AD40" s="49"/>
      <c r="AE40" s="49"/>
      <c r="AF40" s="49"/>
      <c r="AG40" s="49"/>
      <c r="AH40" s="49"/>
      <c r="AI40" s="49"/>
      <c r="AJ40" s="49"/>
      <c r="AK40" s="49"/>
      <c r="AL40" s="49"/>
      <c r="AM40" s="49"/>
      <c r="AN40" s="49"/>
      <c r="AO40" s="49"/>
      <c r="AP40" s="49"/>
      <c r="AQ40" s="49"/>
      <c r="AR40" s="49"/>
      <c r="AS40" s="49"/>
      <c r="AV40" s="48" t="s">
        <v>375</v>
      </c>
      <c r="AW40" s="49"/>
      <c r="AX40" s="49"/>
      <c r="AY40" s="49"/>
      <c r="AZ40" s="49"/>
      <c r="BA40" s="49"/>
      <c r="BB40" s="49"/>
      <c r="BC40" s="49"/>
      <c r="BD40" s="49"/>
      <c r="BE40" s="49"/>
      <c r="BF40" s="49"/>
      <c r="BG40" s="49"/>
      <c r="BH40" s="49"/>
      <c r="BI40" s="49"/>
      <c r="BJ40" s="49"/>
      <c r="BK40" s="49"/>
      <c r="BL40" s="49"/>
      <c r="BM40" s="49"/>
      <c r="BN40" s="49"/>
      <c r="BO40" s="49"/>
    </row>
    <row r="41" spans="1:67" x14ac:dyDescent="0.35">
      <c r="B41" s="15"/>
      <c r="C41" s="15"/>
      <c r="D41" s="12">
        <v>1</v>
      </c>
      <c r="E41" s="12">
        <v>2</v>
      </c>
      <c r="F41" s="12">
        <v>3</v>
      </c>
      <c r="G41" s="12">
        <v>4</v>
      </c>
      <c r="H41" s="12">
        <v>5</v>
      </c>
      <c r="I41" s="12">
        <v>6</v>
      </c>
      <c r="J41" s="12">
        <v>7</v>
      </c>
      <c r="K41" s="12">
        <v>8</v>
      </c>
      <c r="L41" s="12">
        <v>9</v>
      </c>
      <c r="M41" s="12">
        <v>10</v>
      </c>
      <c r="N41" s="12">
        <v>11</v>
      </c>
      <c r="O41" s="12">
        <v>12</v>
      </c>
      <c r="P41" s="12">
        <v>13</v>
      </c>
      <c r="Q41" s="12">
        <v>14</v>
      </c>
      <c r="R41" s="12">
        <v>15</v>
      </c>
      <c r="S41" s="12">
        <v>16</v>
      </c>
      <c r="T41" s="12">
        <v>17</v>
      </c>
      <c r="U41" s="12">
        <v>18</v>
      </c>
      <c r="V41" s="12">
        <v>19</v>
      </c>
      <c r="W41" s="12">
        <v>20</v>
      </c>
      <c r="Z41" s="18" cm="1">
        <f t="array" ref="Z41:AS41">time_index</f>
        <v>1</v>
      </c>
      <c r="AA41">
        <v>2</v>
      </c>
      <c r="AB41" s="12">
        <v>3</v>
      </c>
      <c r="AC41" s="12">
        <v>4</v>
      </c>
      <c r="AD41" s="12">
        <v>5</v>
      </c>
      <c r="AE41" s="12">
        <v>6</v>
      </c>
      <c r="AF41" s="12">
        <v>7</v>
      </c>
      <c r="AG41" s="12">
        <v>8</v>
      </c>
      <c r="AH41" s="12">
        <v>9</v>
      </c>
      <c r="AI41" s="12">
        <v>10</v>
      </c>
      <c r="AJ41" s="12">
        <v>11</v>
      </c>
      <c r="AK41" s="12">
        <v>12</v>
      </c>
      <c r="AL41" s="12">
        <v>13</v>
      </c>
      <c r="AM41" s="12">
        <v>14</v>
      </c>
      <c r="AN41" s="12">
        <v>15</v>
      </c>
      <c r="AO41" s="12">
        <v>16</v>
      </c>
      <c r="AP41" s="12">
        <v>17</v>
      </c>
      <c r="AQ41" s="12">
        <v>18</v>
      </c>
      <c r="AR41" s="12">
        <v>19</v>
      </c>
      <c r="AS41" s="12">
        <v>20</v>
      </c>
      <c r="AV41" s="18" cm="1">
        <f t="array" ref="AV41:BO41">time_index</f>
        <v>1</v>
      </c>
      <c r="AW41">
        <v>2</v>
      </c>
      <c r="AX41" s="12">
        <v>3</v>
      </c>
      <c r="AY41" s="12">
        <v>4</v>
      </c>
      <c r="AZ41" s="12">
        <v>5</v>
      </c>
      <c r="BA41" s="12">
        <v>6</v>
      </c>
      <c r="BB41" s="12">
        <v>7</v>
      </c>
      <c r="BC41" s="12">
        <v>8</v>
      </c>
      <c r="BD41" s="12">
        <v>9</v>
      </c>
      <c r="BE41" s="12">
        <v>10</v>
      </c>
      <c r="BF41" s="12">
        <v>11</v>
      </c>
      <c r="BG41" s="12">
        <v>12</v>
      </c>
      <c r="BH41" s="12">
        <v>13</v>
      </c>
      <c r="BI41" s="12">
        <v>14</v>
      </c>
      <c r="BJ41" s="12">
        <v>15</v>
      </c>
      <c r="BK41" s="12">
        <v>16</v>
      </c>
      <c r="BL41" s="12">
        <v>17</v>
      </c>
      <c r="BM41" s="12">
        <v>18</v>
      </c>
      <c r="BN41" s="12">
        <v>19</v>
      </c>
      <c r="BO41" s="12">
        <v>20</v>
      </c>
    </row>
    <row r="42" spans="1:67" ht="29" x14ac:dyDescent="0.35">
      <c r="A42" s="129"/>
      <c r="C42" s="56" t="s">
        <v>152</v>
      </c>
      <c r="D42" s="52" cm="1">
        <f t="array" ref="D42:W42">years</f>
        <v>2018</v>
      </c>
      <c r="E42" s="52">
        <v>2019</v>
      </c>
      <c r="F42" s="52">
        <v>2020</v>
      </c>
      <c r="G42" s="52">
        <v>2021</v>
      </c>
      <c r="H42" s="52">
        <v>2022</v>
      </c>
      <c r="I42" s="52">
        <v>2023</v>
      </c>
      <c r="J42" s="52">
        <v>2024</v>
      </c>
      <c r="K42" s="52">
        <v>2025</v>
      </c>
      <c r="L42" s="52">
        <v>2026</v>
      </c>
      <c r="M42" s="52">
        <v>2027</v>
      </c>
      <c r="N42" s="52">
        <v>2028</v>
      </c>
      <c r="O42" s="52">
        <v>2029</v>
      </c>
      <c r="P42" s="52">
        <v>2030</v>
      </c>
      <c r="Q42" s="52">
        <v>2031</v>
      </c>
      <c r="R42" s="52">
        <v>2032</v>
      </c>
      <c r="S42" s="52">
        <v>2033</v>
      </c>
      <c r="T42" s="52">
        <v>2034</v>
      </c>
      <c r="U42" s="52">
        <v>2035</v>
      </c>
      <c r="V42" s="52">
        <v>2036</v>
      </c>
      <c r="W42" s="52">
        <v>2037</v>
      </c>
      <c r="Z42" s="229" cm="1">
        <f t="array" ref="Z42:AS42">years</f>
        <v>2018</v>
      </c>
      <c r="AA42" s="53">
        <v>2019</v>
      </c>
      <c r="AB42" s="52">
        <v>2020</v>
      </c>
      <c r="AC42" s="52">
        <v>2021</v>
      </c>
      <c r="AD42" s="52">
        <v>2022</v>
      </c>
      <c r="AE42" s="52">
        <v>2023</v>
      </c>
      <c r="AF42" s="52">
        <v>2024</v>
      </c>
      <c r="AG42" s="52">
        <v>2025</v>
      </c>
      <c r="AH42" s="52">
        <v>2026</v>
      </c>
      <c r="AI42" s="52">
        <v>2027</v>
      </c>
      <c r="AJ42" s="52">
        <v>2028</v>
      </c>
      <c r="AK42" s="52">
        <v>2029</v>
      </c>
      <c r="AL42" s="52">
        <v>2030</v>
      </c>
      <c r="AM42" s="52">
        <v>2031</v>
      </c>
      <c r="AN42" s="52">
        <v>2032</v>
      </c>
      <c r="AO42" s="52">
        <v>2033</v>
      </c>
      <c r="AP42" s="52">
        <v>2034</v>
      </c>
      <c r="AQ42" s="52">
        <v>2035</v>
      </c>
      <c r="AR42" s="52">
        <v>2036</v>
      </c>
      <c r="AS42" s="52">
        <v>2037</v>
      </c>
      <c r="AV42" s="208" cm="1">
        <f t="array" ref="AV42:BO42">years</f>
        <v>2018</v>
      </c>
      <c r="AW42" s="209">
        <v>2019</v>
      </c>
      <c r="AX42" s="198">
        <v>2020</v>
      </c>
      <c r="AY42" s="198">
        <v>2021</v>
      </c>
      <c r="AZ42" s="198">
        <v>2022</v>
      </c>
      <c r="BA42" s="198">
        <v>2023</v>
      </c>
      <c r="BB42" s="198">
        <v>2024</v>
      </c>
      <c r="BC42" s="198">
        <v>2025</v>
      </c>
      <c r="BD42" s="198">
        <v>2026</v>
      </c>
      <c r="BE42" s="198">
        <v>2027</v>
      </c>
      <c r="BF42" s="198">
        <v>2028</v>
      </c>
      <c r="BG42" s="198">
        <v>2029</v>
      </c>
      <c r="BH42" s="198">
        <v>2030</v>
      </c>
      <c r="BI42" s="198">
        <v>2031</v>
      </c>
      <c r="BJ42" s="198">
        <v>2032</v>
      </c>
      <c r="BK42" s="198">
        <v>2033</v>
      </c>
      <c r="BL42" s="198">
        <v>2034</v>
      </c>
      <c r="BM42" s="198">
        <v>2035</v>
      </c>
      <c r="BN42" s="198">
        <v>2036</v>
      </c>
      <c r="BO42" s="198">
        <v>2037</v>
      </c>
    </row>
    <row r="43" spans="1:67" x14ac:dyDescent="0.35">
      <c r="A43" s="7" t="str" cm="1">
        <f t="array" ref="A43:A58">core_elements</f>
        <v>Application server hardware</v>
      </c>
      <c r="C43" s="9">
        <v>8</v>
      </c>
      <c r="D43" s="26">
        <f>D16</f>
        <v>2</v>
      </c>
      <c r="E43" s="26">
        <f>MAX(E16-D87,0)</f>
        <v>0</v>
      </c>
      <c r="F43" s="26">
        <f t="shared" ref="F43:W43" si="0">MAX(F16-E87,0)</f>
        <v>0</v>
      </c>
      <c r="G43" s="26">
        <f t="shared" si="0"/>
        <v>0</v>
      </c>
      <c r="H43" s="26">
        <f t="shared" si="0"/>
        <v>0</v>
      </c>
      <c r="I43" s="26">
        <f t="shared" si="0"/>
        <v>0</v>
      </c>
      <c r="J43" s="26">
        <f t="shared" si="0"/>
        <v>0</v>
      </c>
      <c r="K43" s="26">
        <f t="shared" si="0"/>
        <v>0</v>
      </c>
      <c r="L43" s="26">
        <f t="shared" si="0"/>
        <v>2</v>
      </c>
      <c r="M43" s="26">
        <f t="shared" si="0"/>
        <v>0</v>
      </c>
      <c r="N43" s="26">
        <f t="shared" si="0"/>
        <v>0</v>
      </c>
      <c r="O43" s="26">
        <f t="shared" si="0"/>
        <v>0</v>
      </c>
      <c r="P43" s="26">
        <f t="shared" si="0"/>
        <v>0</v>
      </c>
      <c r="Q43" s="26">
        <f t="shared" si="0"/>
        <v>0</v>
      </c>
      <c r="R43" s="26">
        <f t="shared" si="0"/>
        <v>0</v>
      </c>
      <c r="S43" s="26">
        <f t="shared" si="0"/>
        <v>0</v>
      </c>
      <c r="T43" s="26">
        <f t="shared" si="0"/>
        <v>2</v>
      </c>
      <c r="U43" s="26">
        <f t="shared" si="0"/>
        <v>0</v>
      </c>
      <c r="V43" s="26">
        <f t="shared" si="0"/>
        <v>0</v>
      </c>
      <c r="W43" s="26">
        <f t="shared" si="0"/>
        <v>0</v>
      </c>
      <c r="Z43" s="26">
        <f>Z16</f>
        <v>2</v>
      </c>
      <c r="AA43" s="26">
        <f t="shared" ref="AA43:AS43" si="1">MAX(AA16-Z87,0)</f>
        <v>0</v>
      </c>
      <c r="AB43" s="26">
        <f t="shared" si="1"/>
        <v>0</v>
      </c>
      <c r="AC43" s="26">
        <f t="shared" si="1"/>
        <v>0</v>
      </c>
      <c r="AD43" s="26">
        <f t="shared" si="1"/>
        <v>0</v>
      </c>
      <c r="AE43" s="26">
        <f t="shared" si="1"/>
        <v>0</v>
      </c>
      <c r="AF43" s="26">
        <f t="shared" si="1"/>
        <v>0</v>
      </c>
      <c r="AG43" s="26">
        <f t="shared" si="1"/>
        <v>0</v>
      </c>
      <c r="AH43" s="26">
        <f t="shared" si="1"/>
        <v>2</v>
      </c>
      <c r="AI43" s="26">
        <f t="shared" si="1"/>
        <v>0</v>
      </c>
      <c r="AJ43" s="26">
        <f t="shared" si="1"/>
        <v>0</v>
      </c>
      <c r="AK43" s="26">
        <f t="shared" si="1"/>
        <v>0</v>
      </c>
      <c r="AL43" s="26">
        <f t="shared" si="1"/>
        <v>0</v>
      </c>
      <c r="AM43" s="26">
        <f t="shared" si="1"/>
        <v>0</v>
      </c>
      <c r="AN43" s="26">
        <f t="shared" si="1"/>
        <v>0</v>
      </c>
      <c r="AO43" s="26">
        <f t="shared" si="1"/>
        <v>0</v>
      </c>
      <c r="AP43" s="26">
        <f t="shared" si="1"/>
        <v>2</v>
      </c>
      <c r="AQ43" s="26">
        <f t="shared" si="1"/>
        <v>0</v>
      </c>
      <c r="AR43" s="26">
        <f t="shared" si="1"/>
        <v>0</v>
      </c>
      <c r="AS43" s="26">
        <f t="shared" si="1"/>
        <v>0</v>
      </c>
      <c r="AV43" s="26">
        <f>D43-Z43</f>
        <v>0</v>
      </c>
      <c r="AW43" s="26">
        <f t="shared" ref="AW43:BO56" si="2">E43-AA43</f>
        <v>0</v>
      </c>
      <c r="AX43" s="26">
        <f t="shared" si="2"/>
        <v>0</v>
      </c>
      <c r="AY43" s="26">
        <f t="shared" si="2"/>
        <v>0</v>
      </c>
      <c r="AZ43" s="26">
        <f t="shared" si="2"/>
        <v>0</v>
      </c>
      <c r="BA43" s="26">
        <f t="shared" si="2"/>
        <v>0</v>
      </c>
      <c r="BB43" s="26">
        <f t="shared" si="2"/>
        <v>0</v>
      </c>
      <c r="BC43" s="26">
        <f t="shared" si="2"/>
        <v>0</v>
      </c>
      <c r="BD43" s="26">
        <f t="shared" si="2"/>
        <v>0</v>
      </c>
      <c r="BE43" s="26">
        <f t="shared" si="2"/>
        <v>0</v>
      </c>
      <c r="BF43" s="26">
        <f t="shared" si="2"/>
        <v>0</v>
      </c>
      <c r="BG43" s="26">
        <f t="shared" si="2"/>
        <v>0</v>
      </c>
      <c r="BH43" s="26">
        <f t="shared" si="2"/>
        <v>0</v>
      </c>
      <c r="BI43" s="26">
        <f t="shared" si="2"/>
        <v>0</v>
      </c>
      <c r="BJ43" s="26">
        <f t="shared" si="2"/>
        <v>0</v>
      </c>
      <c r="BK43" s="26">
        <f t="shared" si="2"/>
        <v>0</v>
      </c>
      <c r="BL43" s="26">
        <f t="shared" si="2"/>
        <v>0</v>
      </c>
      <c r="BM43" s="26">
        <f t="shared" si="2"/>
        <v>0</v>
      </c>
      <c r="BN43" s="26">
        <f t="shared" si="2"/>
        <v>0</v>
      </c>
      <c r="BO43" s="26">
        <f t="shared" si="2"/>
        <v>0</v>
      </c>
    </row>
    <row r="44" spans="1:67" x14ac:dyDescent="0.35">
      <c r="A44" s="7" t="str">
        <v>Application server software</v>
      </c>
      <c r="C44" s="9">
        <v>8</v>
      </c>
      <c r="D44" s="26">
        <f>D17</f>
        <v>2</v>
      </c>
      <c r="E44" s="26">
        <f t="shared" ref="E44:W44" si="3">MAX(E17-D88,0)</f>
        <v>0</v>
      </c>
      <c r="F44" s="26">
        <f t="shared" si="3"/>
        <v>0</v>
      </c>
      <c r="G44" s="26">
        <f t="shared" si="3"/>
        <v>0</v>
      </c>
      <c r="H44" s="26">
        <f t="shared" si="3"/>
        <v>0</v>
      </c>
      <c r="I44" s="26">
        <f t="shared" si="3"/>
        <v>0</v>
      </c>
      <c r="J44" s="26">
        <f t="shared" si="3"/>
        <v>0</v>
      </c>
      <c r="K44" s="26">
        <f t="shared" si="3"/>
        <v>0</v>
      </c>
      <c r="L44" s="26">
        <f t="shared" si="3"/>
        <v>2</v>
      </c>
      <c r="M44" s="26">
        <f t="shared" si="3"/>
        <v>0</v>
      </c>
      <c r="N44" s="26">
        <f t="shared" si="3"/>
        <v>0</v>
      </c>
      <c r="O44" s="26">
        <f t="shared" si="3"/>
        <v>0</v>
      </c>
      <c r="P44" s="26">
        <f t="shared" si="3"/>
        <v>0</v>
      </c>
      <c r="Q44" s="26">
        <f t="shared" si="3"/>
        <v>0</v>
      </c>
      <c r="R44" s="26">
        <f t="shared" si="3"/>
        <v>0</v>
      </c>
      <c r="S44" s="26">
        <f t="shared" si="3"/>
        <v>0</v>
      </c>
      <c r="T44" s="26">
        <f t="shared" si="3"/>
        <v>2</v>
      </c>
      <c r="U44" s="26">
        <f t="shared" si="3"/>
        <v>0</v>
      </c>
      <c r="V44" s="26">
        <f t="shared" si="3"/>
        <v>0</v>
      </c>
      <c r="W44" s="26">
        <f t="shared" si="3"/>
        <v>0</v>
      </c>
      <c r="Z44" s="26">
        <f t="shared" ref="Z44:Z58" si="4">Z17</f>
        <v>2</v>
      </c>
      <c r="AA44" s="26">
        <f t="shared" ref="AA44:AS44" si="5">MAX(AA17-Z88,0)</f>
        <v>0</v>
      </c>
      <c r="AB44" s="26">
        <f t="shared" si="5"/>
        <v>0</v>
      </c>
      <c r="AC44" s="26">
        <f t="shared" si="5"/>
        <v>0</v>
      </c>
      <c r="AD44" s="26">
        <f t="shared" si="5"/>
        <v>0</v>
      </c>
      <c r="AE44" s="26">
        <f t="shared" si="5"/>
        <v>0</v>
      </c>
      <c r="AF44" s="26">
        <f t="shared" si="5"/>
        <v>0</v>
      </c>
      <c r="AG44" s="26">
        <f t="shared" si="5"/>
        <v>0</v>
      </c>
      <c r="AH44" s="26">
        <f t="shared" si="5"/>
        <v>2</v>
      </c>
      <c r="AI44" s="26">
        <f t="shared" si="5"/>
        <v>0</v>
      </c>
      <c r="AJ44" s="26">
        <f t="shared" si="5"/>
        <v>0</v>
      </c>
      <c r="AK44" s="26">
        <f t="shared" si="5"/>
        <v>0</v>
      </c>
      <c r="AL44" s="26">
        <f t="shared" si="5"/>
        <v>0</v>
      </c>
      <c r="AM44" s="26">
        <f t="shared" si="5"/>
        <v>0</v>
      </c>
      <c r="AN44" s="26">
        <f t="shared" si="5"/>
        <v>0</v>
      </c>
      <c r="AO44" s="26">
        <f t="shared" si="5"/>
        <v>0</v>
      </c>
      <c r="AP44" s="26">
        <f t="shared" si="5"/>
        <v>2</v>
      </c>
      <c r="AQ44" s="26">
        <f t="shared" si="5"/>
        <v>0</v>
      </c>
      <c r="AR44" s="26">
        <f t="shared" si="5"/>
        <v>0</v>
      </c>
      <c r="AS44" s="26">
        <f t="shared" si="5"/>
        <v>0</v>
      </c>
      <c r="AV44" s="26">
        <f t="shared" ref="AV44:AV58" si="6">D44-Z44</f>
        <v>0</v>
      </c>
      <c r="AW44" s="26">
        <f t="shared" si="2"/>
        <v>0</v>
      </c>
      <c r="AX44" s="26">
        <f t="shared" si="2"/>
        <v>0</v>
      </c>
      <c r="AY44" s="26">
        <f t="shared" si="2"/>
        <v>0</v>
      </c>
      <c r="AZ44" s="26">
        <f t="shared" si="2"/>
        <v>0</v>
      </c>
      <c r="BA44" s="26">
        <f t="shared" si="2"/>
        <v>0</v>
      </c>
      <c r="BB44" s="26">
        <f t="shared" si="2"/>
        <v>0</v>
      </c>
      <c r="BC44" s="26">
        <f t="shared" si="2"/>
        <v>0</v>
      </c>
      <c r="BD44" s="26">
        <f t="shared" si="2"/>
        <v>0</v>
      </c>
      <c r="BE44" s="26">
        <f t="shared" si="2"/>
        <v>0</v>
      </c>
      <c r="BF44" s="26">
        <f t="shared" si="2"/>
        <v>0</v>
      </c>
      <c r="BG44" s="26">
        <f t="shared" si="2"/>
        <v>0</v>
      </c>
      <c r="BH44" s="26">
        <f t="shared" si="2"/>
        <v>0</v>
      </c>
      <c r="BI44" s="26">
        <f t="shared" si="2"/>
        <v>0</v>
      </c>
      <c r="BJ44" s="26">
        <f t="shared" si="2"/>
        <v>0</v>
      </c>
      <c r="BK44" s="26">
        <f t="shared" si="2"/>
        <v>0</v>
      </c>
      <c r="BL44" s="26">
        <f t="shared" si="2"/>
        <v>0</v>
      </c>
      <c r="BM44" s="26">
        <f t="shared" si="2"/>
        <v>0</v>
      </c>
      <c r="BN44" s="26">
        <f t="shared" si="2"/>
        <v>0</v>
      </c>
      <c r="BO44" s="26">
        <f t="shared" si="2"/>
        <v>0</v>
      </c>
    </row>
    <row r="45" spans="1:67" x14ac:dyDescent="0.35">
      <c r="A45" s="7" t="str">
        <v>Charging data function hardware</v>
      </c>
      <c r="C45" s="9">
        <v>8</v>
      </c>
      <c r="D45" s="26">
        <f t="shared" ref="D45:D57" si="7">D18</f>
        <v>2</v>
      </c>
      <c r="E45" s="26">
        <f t="shared" ref="E45:W45" si="8">MAX(E18-D89,0)</f>
        <v>0</v>
      </c>
      <c r="F45" s="26">
        <f t="shared" si="8"/>
        <v>0</v>
      </c>
      <c r="G45" s="26">
        <f t="shared" si="8"/>
        <v>0</v>
      </c>
      <c r="H45" s="26">
        <f t="shared" si="8"/>
        <v>0</v>
      </c>
      <c r="I45" s="26">
        <f t="shared" si="8"/>
        <v>0</v>
      </c>
      <c r="J45" s="26">
        <f t="shared" si="8"/>
        <v>0</v>
      </c>
      <c r="K45" s="26">
        <f t="shared" si="8"/>
        <v>0</v>
      </c>
      <c r="L45" s="26">
        <f t="shared" si="8"/>
        <v>2</v>
      </c>
      <c r="M45" s="26">
        <f t="shared" si="8"/>
        <v>0</v>
      </c>
      <c r="N45" s="26">
        <f t="shared" si="8"/>
        <v>0</v>
      </c>
      <c r="O45" s="26">
        <f t="shared" si="8"/>
        <v>0</v>
      </c>
      <c r="P45" s="26">
        <f t="shared" si="8"/>
        <v>0</v>
      </c>
      <c r="Q45" s="26">
        <f t="shared" si="8"/>
        <v>0</v>
      </c>
      <c r="R45" s="26">
        <f t="shared" si="8"/>
        <v>0</v>
      </c>
      <c r="S45" s="26">
        <f t="shared" si="8"/>
        <v>0</v>
      </c>
      <c r="T45" s="26">
        <f t="shared" si="8"/>
        <v>2</v>
      </c>
      <c r="U45" s="26">
        <f t="shared" si="8"/>
        <v>0</v>
      </c>
      <c r="V45" s="26">
        <f t="shared" si="8"/>
        <v>0</v>
      </c>
      <c r="W45" s="26">
        <f t="shared" si="8"/>
        <v>0</v>
      </c>
      <c r="Z45" s="26">
        <f t="shared" si="4"/>
        <v>2</v>
      </c>
      <c r="AA45" s="26">
        <f t="shared" ref="AA45:AS45" si="9">MAX(AA18-Z89,0)</f>
        <v>0</v>
      </c>
      <c r="AB45" s="26">
        <f t="shared" si="9"/>
        <v>0</v>
      </c>
      <c r="AC45" s="26">
        <f t="shared" si="9"/>
        <v>0</v>
      </c>
      <c r="AD45" s="26">
        <f t="shared" si="9"/>
        <v>0</v>
      </c>
      <c r="AE45" s="26">
        <f t="shared" si="9"/>
        <v>0</v>
      </c>
      <c r="AF45" s="26">
        <f t="shared" si="9"/>
        <v>0</v>
      </c>
      <c r="AG45" s="26">
        <f t="shared" si="9"/>
        <v>0</v>
      </c>
      <c r="AH45" s="26">
        <f t="shared" si="9"/>
        <v>2</v>
      </c>
      <c r="AI45" s="26">
        <f t="shared" si="9"/>
        <v>0</v>
      </c>
      <c r="AJ45" s="26">
        <f t="shared" si="9"/>
        <v>0</v>
      </c>
      <c r="AK45" s="26">
        <f t="shared" si="9"/>
        <v>0</v>
      </c>
      <c r="AL45" s="26">
        <f t="shared" si="9"/>
        <v>0</v>
      </c>
      <c r="AM45" s="26">
        <f t="shared" si="9"/>
        <v>0</v>
      </c>
      <c r="AN45" s="26">
        <f t="shared" si="9"/>
        <v>0</v>
      </c>
      <c r="AO45" s="26">
        <f t="shared" si="9"/>
        <v>0</v>
      </c>
      <c r="AP45" s="26">
        <f t="shared" si="9"/>
        <v>2</v>
      </c>
      <c r="AQ45" s="26">
        <f t="shared" si="9"/>
        <v>0</v>
      </c>
      <c r="AR45" s="26">
        <f t="shared" si="9"/>
        <v>0</v>
      </c>
      <c r="AS45" s="26">
        <f t="shared" si="9"/>
        <v>0</v>
      </c>
      <c r="AV45" s="26">
        <f t="shared" si="6"/>
        <v>0</v>
      </c>
      <c r="AW45" s="26">
        <f t="shared" si="2"/>
        <v>0</v>
      </c>
      <c r="AX45" s="26">
        <f t="shared" si="2"/>
        <v>0</v>
      </c>
      <c r="AY45" s="26">
        <f t="shared" si="2"/>
        <v>0</v>
      </c>
      <c r="AZ45" s="26">
        <f t="shared" si="2"/>
        <v>0</v>
      </c>
      <c r="BA45" s="26">
        <f t="shared" si="2"/>
        <v>0</v>
      </c>
      <c r="BB45" s="26">
        <f t="shared" si="2"/>
        <v>0</v>
      </c>
      <c r="BC45" s="26">
        <f t="shared" si="2"/>
        <v>0</v>
      </c>
      <c r="BD45" s="26">
        <f t="shared" si="2"/>
        <v>0</v>
      </c>
      <c r="BE45" s="26">
        <f t="shared" si="2"/>
        <v>0</v>
      </c>
      <c r="BF45" s="26">
        <f t="shared" si="2"/>
        <v>0</v>
      </c>
      <c r="BG45" s="26">
        <f t="shared" si="2"/>
        <v>0</v>
      </c>
      <c r="BH45" s="26">
        <f t="shared" si="2"/>
        <v>0</v>
      </c>
      <c r="BI45" s="26">
        <f t="shared" si="2"/>
        <v>0</v>
      </c>
      <c r="BJ45" s="26">
        <f t="shared" si="2"/>
        <v>0</v>
      </c>
      <c r="BK45" s="26">
        <f t="shared" si="2"/>
        <v>0</v>
      </c>
      <c r="BL45" s="26">
        <f t="shared" si="2"/>
        <v>0</v>
      </c>
      <c r="BM45" s="26">
        <f t="shared" si="2"/>
        <v>0</v>
      </c>
      <c r="BN45" s="26">
        <f t="shared" si="2"/>
        <v>0</v>
      </c>
      <c r="BO45" s="26">
        <f t="shared" si="2"/>
        <v>0</v>
      </c>
    </row>
    <row r="46" spans="1:67" x14ac:dyDescent="0.35">
      <c r="A46" s="7" t="str">
        <v>Charging data function software</v>
      </c>
      <c r="C46" s="9">
        <v>8</v>
      </c>
      <c r="D46" s="26">
        <f t="shared" si="7"/>
        <v>168</v>
      </c>
      <c r="E46" s="26">
        <f t="shared" ref="E46:W46" si="10">MAX(E19-D90,0)</f>
        <v>0</v>
      </c>
      <c r="F46" s="26">
        <f t="shared" si="10"/>
        <v>0</v>
      </c>
      <c r="G46" s="26">
        <f t="shared" si="10"/>
        <v>0</v>
      </c>
      <c r="H46" s="26">
        <f t="shared" si="10"/>
        <v>0</v>
      </c>
      <c r="I46" s="26">
        <f t="shared" si="10"/>
        <v>0</v>
      </c>
      <c r="J46" s="26">
        <f t="shared" si="10"/>
        <v>0</v>
      </c>
      <c r="K46" s="26">
        <f t="shared" si="10"/>
        <v>0</v>
      </c>
      <c r="L46" s="26">
        <f t="shared" si="10"/>
        <v>122</v>
      </c>
      <c r="M46" s="26">
        <f t="shared" si="10"/>
        <v>0</v>
      </c>
      <c r="N46" s="26">
        <f t="shared" si="10"/>
        <v>0</v>
      </c>
      <c r="O46" s="26">
        <f t="shared" si="10"/>
        <v>0</v>
      </c>
      <c r="P46" s="26">
        <f t="shared" si="10"/>
        <v>0</v>
      </c>
      <c r="Q46" s="26">
        <f t="shared" si="10"/>
        <v>0</v>
      </c>
      <c r="R46" s="26">
        <f t="shared" si="10"/>
        <v>0</v>
      </c>
      <c r="S46" s="26">
        <f t="shared" si="10"/>
        <v>0</v>
      </c>
      <c r="T46" s="26">
        <f t="shared" si="10"/>
        <v>122</v>
      </c>
      <c r="U46" s="26">
        <f t="shared" si="10"/>
        <v>0</v>
      </c>
      <c r="V46" s="26">
        <f t="shared" si="10"/>
        <v>0</v>
      </c>
      <c r="W46" s="26">
        <f t="shared" si="10"/>
        <v>0</v>
      </c>
      <c r="Z46" s="26">
        <f t="shared" si="4"/>
        <v>124</v>
      </c>
      <c r="AA46" s="26">
        <f t="shared" ref="AA46:AS46" si="11">MAX(AA19-Z90,0)</f>
        <v>0</v>
      </c>
      <c r="AB46" s="26">
        <f t="shared" si="11"/>
        <v>0</v>
      </c>
      <c r="AC46" s="26">
        <f t="shared" si="11"/>
        <v>0</v>
      </c>
      <c r="AD46" s="26">
        <f t="shared" si="11"/>
        <v>0</v>
      </c>
      <c r="AE46" s="26">
        <f t="shared" si="11"/>
        <v>0</v>
      </c>
      <c r="AF46" s="26">
        <f t="shared" si="11"/>
        <v>0</v>
      </c>
      <c r="AG46" s="26">
        <f t="shared" si="11"/>
        <v>0</v>
      </c>
      <c r="AH46" s="26">
        <f t="shared" si="11"/>
        <v>86</v>
      </c>
      <c r="AI46" s="26">
        <f t="shared" si="11"/>
        <v>0</v>
      </c>
      <c r="AJ46" s="26">
        <f t="shared" si="11"/>
        <v>0</v>
      </c>
      <c r="AK46" s="26">
        <f t="shared" si="11"/>
        <v>0</v>
      </c>
      <c r="AL46" s="26">
        <f t="shared" si="11"/>
        <v>0</v>
      </c>
      <c r="AM46" s="26">
        <f t="shared" si="11"/>
        <v>0</v>
      </c>
      <c r="AN46" s="26">
        <f t="shared" si="11"/>
        <v>0</v>
      </c>
      <c r="AO46" s="26">
        <f t="shared" si="11"/>
        <v>0</v>
      </c>
      <c r="AP46" s="26">
        <f t="shared" si="11"/>
        <v>86</v>
      </c>
      <c r="AQ46" s="26">
        <f t="shared" si="11"/>
        <v>0</v>
      </c>
      <c r="AR46" s="26">
        <f t="shared" si="11"/>
        <v>0</v>
      </c>
      <c r="AS46" s="26">
        <f t="shared" si="11"/>
        <v>0</v>
      </c>
      <c r="AV46" s="26">
        <f t="shared" si="6"/>
        <v>44</v>
      </c>
      <c r="AW46" s="26">
        <f t="shared" si="2"/>
        <v>0</v>
      </c>
      <c r="AX46" s="26">
        <f t="shared" si="2"/>
        <v>0</v>
      </c>
      <c r="AY46" s="26">
        <f t="shared" si="2"/>
        <v>0</v>
      </c>
      <c r="AZ46" s="26">
        <f t="shared" si="2"/>
        <v>0</v>
      </c>
      <c r="BA46" s="26">
        <f t="shared" si="2"/>
        <v>0</v>
      </c>
      <c r="BB46" s="26">
        <f t="shared" si="2"/>
        <v>0</v>
      </c>
      <c r="BC46" s="26">
        <f t="shared" si="2"/>
        <v>0</v>
      </c>
      <c r="BD46" s="26">
        <f t="shared" si="2"/>
        <v>36</v>
      </c>
      <c r="BE46" s="26">
        <f t="shared" si="2"/>
        <v>0</v>
      </c>
      <c r="BF46" s="26">
        <f t="shared" si="2"/>
        <v>0</v>
      </c>
      <c r="BG46" s="26">
        <f t="shared" si="2"/>
        <v>0</v>
      </c>
      <c r="BH46" s="26">
        <f t="shared" si="2"/>
        <v>0</v>
      </c>
      <c r="BI46" s="26">
        <f t="shared" si="2"/>
        <v>0</v>
      </c>
      <c r="BJ46" s="26">
        <f t="shared" si="2"/>
        <v>0</v>
      </c>
      <c r="BK46" s="26">
        <f t="shared" si="2"/>
        <v>0</v>
      </c>
      <c r="BL46" s="26">
        <f t="shared" si="2"/>
        <v>36</v>
      </c>
      <c r="BM46" s="26">
        <f t="shared" si="2"/>
        <v>0</v>
      </c>
      <c r="BN46" s="26">
        <f t="shared" si="2"/>
        <v>0</v>
      </c>
      <c r="BO46" s="26">
        <f t="shared" si="2"/>
        <v>0</v>
      </c>
    </row>
    <row r="47" spans="1:67" x14ac:dyDescent="0.35">
      <c r="A47" s="7" t="str">
        <v>Proxy - Call session control function hardware</v>
      </c>
      <c r="C47" s="9">
        <v>8</v>
      </c>
      <c r="D47" s="26">
        <f>D20</f>
        <v>2</v>
      </c>
      <c r="E47" s="26">
        <f t="shared" ref="E47:W47" si="12">MAX(E20-D91,0)</f>
        <v>0</v>
      </c>
      <c r="F47" s="26">
        <f t="shared" si="12"/>
        <v>0</v>
      </c>
      <c r="G47" s="26">
        <f t="shared" si="12"/>
        <v>0</v>
      </c>
      <c r="H47" s="26">
        <f t="shared" si="12"/>
        <v>0</v>
      </c>
      <c r="I47" s="26">
        <f t="shared" si="12"/>
        <v>0</v>
      </c>
      <c r="J47" s="26">
        <f t="shared" si="12"/>
        <v>0</v>
      </c>
      <c r="K47" s="26">
        <f t="shared" si="12"/>
        <v>0</v>
      </c>
      <c r="L47" s="26">
        <f t="shared" si="12"/>
        <v>2</v>
      </c>
      <c r="M47" s="26">
        <f t="shared" si="12"/>
        <v>0</v>
      </c>
      <c r="N47" s="26">
        <f t="shared" si="12"/>
        <v>0</v>
      </c>
      <c r="O47" s="26">
        <f t="shared" si="12"/>
        <v>0</v>
      </c>
      <c r="P47" s="26">
        <f t="shared" si="12"/>
        <v>0</v>
      </c>
      <c r="Q47" s="26">
        <f t="shared" si="12"/>
        <v>0</v>
      </c>
      <c r="R47" s="26">
        <f t="shared" si="12"/>
        <v>0</v>
      </c>
      <c r="S47" s="26">
        <f t="shared" si="12"/>
        <v>0</v>
      </c>
      <c r="T47" s="26">
        <f t="shared" si="12"/>
        <v>2</v>
      </c>
      <c r="U47" s="26">
        <f t="shared" si="12"/>
        <v>0</v>
      </c>
      <c r="V47" s="26">
        <f t="shared" si="12"/>
        <v>0</v>
      </c>
      <c r="W47" s="26">
        <f t="shared" si="12"/>
        <v>0</v>
      </c>
      <c r="Z47" s="26">
        <f t="shared" si="4"/>
        <v>2</v>
      </c>
      <c r="AA47" s="26">
        <f t="shared" ref="AA47:AS47" si="13">MAX(AA20-Z91,0)</f>
        <v>0</v>
      </c>
      <c r="AB47" s="26">
        <f t="shared" si="13"/>
        <v>0</v>
      </c>
      <c r="AC47" s="26">
        <f t="shared" si="13"/>
        <v>0</v>
      </c>
      <c r="AD47" s="26">
        <f t="shared" si="13"/>
        <v>0</v>
      </c>
      <c r="AE47" s="26">
        <f t="shared" si="13"/>
        <v>0</v>
      </c>
      <c r="AF47" s="26">
        <f t="shared" si="13"/>
        <v>0</v>
      </c>
      <c r="AG47" s="26">
        <f t="shared" si="13"/>
        <v>0</v>
      </c>
      <c r="AH47" s="26">
        <f t="shared" si="13"/>
        <v>2</v>
      </c>
      <c r="AI47" s="26">
        <f t="shared" si="13"/>
        <v>0</v>
      </c>
      <c r="AJ47" s="26">
        <f t="shared" si="13"/>
        <v>0</v>
      </c>
      <c r="AK47" s="26">
        <f t="shared" si="13"/>
        <v>0</v>
      </c>
      <c r="AL47" s="26">
        <f t="shared" si="13"/>
        <v>0</v>
      </c>
      <c r="AM47" s="26">
        <f t="shared" si="13"/>
        <v>0</v>
      </c>
      <c r="AN47" s="26">
        <f t="shared" si="13"/>
        <v>0</v>
      </c>
      <c r="AO47" s="26">
        <f t="shared" si="13"/>
        <v>0</v>
      </c>
      <c r="AP47" s="26">
        <f t="shared" si="13"/>
        <v>2</v>
      </c>
      <c r="AQ47" s="26">
        <f t="shared" si="13"/>
        <v>0</v>
      </c>
      <c r="AR47" s="26">
        <f t="shared" si="13"/>
        <v>0</v>
      </c>
      <c r="AS47" s="26">
        <f t="shared" si="13"/>
        <v>0</v>
      </c>
      <c r="AV47" s="26">
        <f t="shared" si="6"/>
        <v>0</v>
      </c>
      <c r="AW47" s="26">
        <f t="shared" si="2"/>
        <v>0</v>
      </c>
      <c r="AX47" s="26">
        <f t="shared" si="2"/>
        <v>0</v>
      </c>
      <c r="AY47" s="26">
        <f t="shared" si="2"/>
        <v>0</v>
      </c>
      <c r="AZ47" s="26">
        <f t="shared" si="2"/>
        <v>0</v>
      </c>
      <c r="BA47" s="26">
        <f t="shared" si="2"/>
        <v>0</v>
      </c>
      <c r="BB47" s="26">
        <f t="shared" si="2"/>
        <v>0</v>
      </c>
      <c r="BC47" s="26">
        <f t="shared" si="2"/>
        <v>0</v>
      </c>
      <c r="BD47" s="26">
        <f t="shared" si="2"/>
        <v>0</v>
      </c>
      <c r="BE47" s="26">
        <f t="shared" si="2"/>
        <v>0</v>
      </c>
      <c r="BF47" s="26">
        <f t="shared" si="2"/>
        <v>0</v>
      </c>
      <c r="BG47" s="26">
        <f t="shared" si="2"/>
        <v>0</v>
      </c>
      <c r="BH47" s="26">
        <f t="shared" si="2"/>
        <v>0</v>
      </c>
      <c r="BI47" s="26">
        <f t="shared" si="2"/>
        <v>0</v>
      </c>
      <c r="BJ47" s="26">
        <f t="shared" si="2"/>
        <v>0</v>
      </c>
      <c r="BK47" s="26">
        <f t="shared" si="2"/>
        <v>0</v>
      </c>
      <c r="BL47" s="26">
        <f t="shared" si="2"/>
        <v>0</v>
      </c>
      <c r="BM47" s="26">
        <f t="shared" si="2"/>
        <v>0</v>
      </c>
      <c r="BN47" s="26">
        <f t="shared" si="2"/>
        <v>0</v>
      </c>
      <c r="BO47" s="26">
        <f t="shared" si="2"/>
        <v>0</v>
      </c>
    </row>
    <row r="48" spans="1:67" x14ac:dyDescent="0.35">
      <c r="A48" s="7" t="str">
        <v>Proxy - Call session control function software</v>
      </c>
      <c r="C48" s="9">
        <v>8</v>
      </c>
      <c r="D48" s="26">
        <f t="shared" si="7"/>
        <v>1714</v>
      </c>
      <c r="E48" s="26">
        <f t="shared" ref="E48:W48" si="14">MAX(E21-D92,0)</f>
        <v>0</v>
      </c>
      <c r="F48" s="26">
        <f t="shared" si="14"/>
        <v>0</v>
      </c>
      <c r="G48" s="26">
        <f t="shared" si="14"/>
        <v>0</v>
      </c>
      <c r="H48" s="26">
        <f t="shared" si="14"/>
        <v>0</v>
      </c>
      <c r="I48" s="26">
        <f t="shared" si="14"/>
        <v>0</v>
      </c>
      <c r="J48" s="26">
        <f t="shared" si="14"/>
        <v>0</v>
      </c>
      <c r="K48" s="26">
        <f t="shared" si="14"/>
        <v>0</v>
      </c>
      <c r="L48" s="26">
        <f t="shared" si="14"/>
        <v>1250</v>
      </c>
      <c r="M48" s="26">
        <f t="shared" si="14"/>
        <v>0</v>
      </c>
      <c r="N48" s="26">
        <f t="shared" si="14"/>
        <v>0</v>
      </c>
      <c r="O48" s="26">
        <f t="shared" si="14"/>
        <v>0</v>
      </c>
      <c r="P48" s="26">
        <f t="shared" si="14"/>
        <v>0</v>
      </c>
      <c r="Q48" s="26">
        <f t="shared" si="14"/>
        <v>0</v>
      </c>
      <c r="R48" s="26">
        <f t="shared" si="14"/>
        <v>0</v>
      </c>
      <c r="S48" s="26">
        <f t="shared" si="14"/>
        <v>0</v>
      </c>
      <c r="T48" s="26">
        <f t="shared" si="14"/>
        <v>1250</v>
      </c>
      <c r="U48" s="26">
        <f t="shared" si="14"/>
        <v>0</v>
      </c>
      <c r="V48" s="26">
        <f t="shared" si="14"/>
        <v>0</v>
      </c>
      <c r="W48" s="26">
        <f t="shared" si="14"/>
        <v>0</v>
      </c>
      <c r="Z48" s="26">
        <f t="shared" si="4"/>
        <v>1266</v>
      </c>
      <c r="AA48" s="26">
        <f t="shared" ref="AA48:AS48" si="15">MAX(AA21-Z92,0)</f>
        <v>0</v>
      </c>
      <c r="AB48" s="26">
        <f t="shared" si="15"/>
        <v>0</v>
      </c>
      <c r="AC48" s="26">
        <f t="shared" si="15"/>
        <v>0</v>
      </c>
      <c r="AD48" s="26">
        <f t="shared" si="15"/>
        <v>0</v>
      </c>
      <c r="AE48" s="26">
        <f t="shared" si="15"/>
        <v>0</v>
      </c>
      <c r="AF48" s="26">
        <f t="shared" si="15"/>
        <v>0</v>
      </c>
      <c r="AG48" s="26">
        <f t="shared" si="15"/>
        <v>0</v>
      </c>
      <c r="AH48" s="26">
        <f t="shared" si="15"/>
        <v>872</v>
      </c>
      <c r="AI48" s="26">
        <f t="shared" si="15"/>
        <v>0</v>
      </c>
      <c r="AJ48" s="26">
        <f t="shared" si="15"/>
        <v>0</v>
      </c>
      <c r="AK48" s="26">
        <f t="shared" si="15"/>
        <v>0</v>
      </c>
      <c r="AL48" s="26">
        <f t="shared" si="15"/>
        <v>0</v>
      </c>
      <c r="AM48" s="26">
        <f t="shared" si="15"/>
        <v>0</v>
      </c>
      <c r="AN48" s="26">
        <f t="shared" si="15"/>
        <v>0</v>
      </c>
      <c r="AO48" s="26">
        <f t="shared" si="15"/>
        <v>0</v>
      </c>
      <c r="AP48" s="26">
        <f t="shared" si="15"/>
        <v>872</v>
      </c>
      <c r="AQ48" s="26">
        <f t="shared" si="15"/>
        <v>0</v>
      </c>
      <c r="AR48" s="26">
        <f t="shared" si="15"/>
        <v>0</v>
      </c>
      <c r="AS48" s="26">
        <f t="shared" si="15"/>
        <v>0</v>
      </c>
      <c r="AV48" s="26">
        <f t="shared" si="6"/>
        <v>448</v>
      </c>
      <c r="AW48" s="26">
        <f t="shared" si="2"/>
        <v>0</v>
      </c>
      <c r="AX48" s="26">
        <f t="shared" si="2"/>
        <v>0</v>
      </c>
      <c r="AY48" s="26">
        <f t="shared" si="2"/>
        <v>0</v>
      </c>
      <c r="AZ48" s="26">
        <f t="shared" si="2"/>
        <v>0</v>
      </c>
      <c r="BA48" s="26">
        <f t="shared" si="2"/>
        <v>0</v>
      </c>
      <c r="BB48" s="26">
        <f t="shared" si="2"/>
        <v>0</v>
      </c>
      <c r="BC48" s="26">
        <f t="shared" si="2"/>
        <v>0</v>
      </c>
      <c r="BD48" s="26">
        <f t="shared" si="2"/>
        <v>378</v>
      </c>
      <c r="BE48" s="26">
        <f t="shared" si="2"/>
        <v>0</v>
      </c>
      <c r="BF48" s="26">
        <f t="shared" si="2"/>
        <v>0</v>
      </c>
      <c r="BG48" s="26">
        <f t="shared" si="2"/>
        <v>0</v>
      </c>
      <c r="BH48" s="26">
        <f t="shared" si="2"/>
        <v>0</v>
      </c>
      <c r="BI48" s="26">
        <f t="shared" si="2"/>
        <v>0</v>
      </c>
      <c r="BJ48" s="26">
        <f t="shared" si="2"/>
        <v>0</v>
      </c>
      <c r="BK48" s="26">
        <f t="shared" si="2"/>
        <v>0</v>
      </c>
      <c r="BL48" s="26">
        <f t="shared" si="2"/>
        <v>378</v>
      </c>
      <c r="BM48" s="26">
        <f t="shared" si="2"/>
        <v>0</v>
      </c>
      <c r="BN48" s="26">
        <f t="shared" si="2"/>
        <v>0</v>
      </c>
      <c r="BO48" s="26">
        <f t="shared" si="2"/>
        <v>0</v>
      </c>
    </row>
    <row r="49" spans="1:68" x14ac:dyDescent="0.35">
      <c r="A49" s="7" t="str">
        <v>Interrogating - Call session control function hardware</v>
      </c>
      <c r="C49" s="9">
        <v>8</v>
      </c>
      <c r="D49" s="26">
        <f t="shared" si="7"/>
        <v>2</v>
      </c>
      <c r="E49" s="26">
        <f t="shared" ref="E49:W49" si="16">MAX(E22-D93,0)</f>
        <v>0</v>
      </c>
      <c r="F49" s="26">
        <f t="shared" si="16"/>
        <v>0</v>
      </c>
      <c r="G49" s="26">
        <f t="shared" si="16"/>
        <v>0</v>
      </c>
      <c r="H49" s="26">
        <f t="shared" si="16"/>
        <v>0</v>
      </c>
      <c r="I49" s="26">
        <f t="shared" si="16"/>
        <v>0</v>
      </c>
      <c r="J49" s="26">
        <f t="shared" si="16"/>
        <v>0</v>
      </c>
      <c r="K49" s="26">
        <f t="shared" si="16"/>
        <v>0</v>
      </c>
      <c r="L49" s="26">
        <f t="shared" si="16"/>
        <v>2</v>
      </c>
      <c r="M49" s="26">
        <f t="shared" si="16"/>
        <v>0</v>
      </c>
      <c r="N49" s="26">
        <f t="shared" si="16"/>
        <v>0</v>
      </c>
      <c r="O49" s="26">
        <f t="shared" si="16"/>
        <v>0</v>
      </c>
      <c r="P49" s="26">
        <f t="shared" si="16"/>
        <v>0</v>
      </c>
      <c r="Q49" s="26">
        <f t="shared" si="16"/>
        <v>0</v>
      </c>
      <c r="R49" s="26">
        <f t="shared" si="16"/>
        <v>0</v>
      </c>
      <c r="S49" s="26">
        <f t="shared" si="16"/>
        <v>0</v>
      </c>
      <c r="T49" s="26">
        <f t="shared" si="16"/>
        <v>2</v>
      </c>
      <c r="U49" s="26">
        <f t="shared" si="16"/>
        <v>0</v>
      </c>
      <c r="V49" s="26">
        <f t="shared" si="16"/>
        <v>0</v>
      </c>
      <c r="W49" s="26">
        <f t="shared" si="16"/>
        <v>0</v>
      </c>
      <c r="Z49" s="26">
        <f t="shared" si="4"/>
        <v>2</v>
      </c>
      <c r="AA49" s="26">
        <f t="shared" ref="AA49:AS49" si="17">MAX(AA22-Z93,0)</f>
        <v>0</v>
      </c>
      <c r="AB49" s="26">
        <f t="shared" si="17"/>
        <v>0</v>
      </c>
      <c r="AC49" s="26">
        <f t="shared" si="17"/>
        <v>0</v>
      </c>
      <c r="AD49" s="26">
        <f t="shared" si="17"/>
        <v>0</v>
      </c>
      <c r="AE49" s="26">
        <f t="shared" si="17"/>
        <v>0</v>
      </c>
      <c r="AF49" s="26">
        <f t="shared" si="17"/>
        <v>0</v>
      </c>
      <c r="AG49" s="26">
        <f t="shared" si="17"/>
        <v>0</v>
      </c>
      <c r="AH49" s="26">
        <f t="shared" si="17"/>
        <v>2</v>
      </c>
      <c r="AI49" s="26">
        <f t="shared" si="17"/>
        <v>0</v>
      </c>
      <c r="AJ49" s="26">
        <f t="shared" si="17"/>
        <v>0</v>
      </c>
      <c r="AK49" s="26">
        <f t="shared" si="17"/>
        <v>0</v>
      </c>
      <c r="AL49" s="26">
        <f t="shared" si="17"/>
        <v>0</v>
      </c>
      <c r="AM49" s="26">
        <f t="shared" si="17"/>
        <v>0</v>
      </c>
      <c r="AN49" s="26">
        <f t="shared" si="17"/>
        <v>0</v>
      </c>
      <c r="AO49" s="26">
        <f t="shared" si="17"/>
        <v>0</v>
      </c>
      <c r="AP49" s="26">
        <f t="shared" si="17"/>
        <v>2</v>
      </c>
      <c r="AQ49" s="26">
        <f t="shared" si="17"/>
        <v>0</v>
      </c>
      <c r="AR49" s="26">
        <f t="shared" si="17"/>
        <v>0</v>
      </c>
      <c r="AS49" s="26">
        <f t="shared" si="17"/>
        <v>0</v>
      </c>
      <c r="AV49" s="26">
        <f t="shared" si="6"/>
        <v>0</v>
      </c>
      <c r="AW49" s="26">
        <f t="shared" si="2"/>
        <v>0</v>
      </c>
      <c r="AX49" s="26">
        <f t="shared" si="2"/>
        <v>0</v>
      </c>
      <c r="AY49" s="26">
        <f t="shared" si="2"/>
        <v>0</v>
      </c>
      <c r="AZ49" s="26">
        <f t="shared" si="2"/>
        <v>0</v>
      </c>
      <c r="BA49" s="26">
        <f t="shared" si="2"/>
        <v>0</v>
      </c>
      <c r="BB49" s="26">
        <f t="shared" si="2"/>
        <v>0</v>
      </c>
      <c r="BC49" s="26">
        <f t="shared" si="2"/>
        <v>0</v>
      </c>
      <c r="BD49" s="26">
        <f t="shared" si="2"/>
        <v>0</v>
      </c>
      <c r="BE49" s="26">
        <f t="shared" si="2"/>
        <v>0</v>
      </c>
      <c r="BF49" s="26">
        <f t="shared" si="2"/>
        <v>0</v>
      </c>
      <c r="BG49" s="26">
        <f t="shared" si="2"/>
        <v>0</v>
      </c>
      <c r="BH49" s="26">
        <f t="shared" si="2"/>
        <v>0</v>
      </c>
      <c r="BI49" s="26">
        <f t="shared" si="2"/>
        <v>0</v>
      </c>
      <c r="BJ49" s="26">
        <f t="shared" si="2"/>
        <v>0</v>
      </c>
      <c r="BK49" s="26">
        <f t="shared" si="2"/>
        <v>0</v>
      </c>
      <c r="BL49" s="26">
        <f t="shared" si="2"/>
        <v>0</v>
      </c>
      <c r="BM49" s="26">
        <f t="shared" si="2"/>
        <v>0</v>
      </c>
      <c r="BN49" s="26">
        <f t="shared" si="2"/>
        <v>0</v>
      </c>
      <c r="BO49" s="26">
        <f t="shared" si="2"/>
        <v>0</v>
      </c>
    </row>
    <row r="50" spans="1:68" x14ac:dyDescent="0.35">
      <c r="A50" s="7" t="str">
        <v>Interrogating - Call session control function software</v>
      </c>
      <c r="C50" s="9">
        <v>8</v>
      </c>
      <c r="D50" s="26">
        <f t="shared" si="7"/>
        <v>1714</v>
      </c>
      <c r="E50" s="26">
        <f t="shared" ref="E50:W50" si="18">MAX(E23-D94,0)</f>
        <v>0</v>
      </c>
      <c r="F50" s="26">
        <f t="shared" si="18"/>
        <v>0</v>
      </c>
      <c r="G50" s="26">
        <f t="shared" si="18"/>
        <v>0</v>
      </c>
      <c r="H50" s="26">
        <f t="shared" si="18"/>
        <v>0</v>
      </c>
      <c r="I50" s="26">
        <f t="shared" si="18"/>
        <v>0</v>
      </c>
      <c r="J50" s="26">
        <f t="shared" si="18"/>
        <v>0</v>
      </c>
      <c r="K50" s="26">
        <f t="shared" si="18"/>
        <v>0</v>
      </c>
      <c r="L50" s="26">
        <f t="shared" si="18"/>
        <v>1250</v>
      </c>
      <c r="M50" s="26">
        <f t="shared" si="18"/>
        <v>0</v>
      </c>
      <c r="N50" s="26">
        <f t="shared" si="18"/>
        <v>0</v>
      </c>
      <c r="O50" s="26">
        <f t="shared" si="18"/>
        <v>0</v>
      </c>
      <c r="P50" s="26">
        <f t="shared" si="18"/>
        <v>0</v>
      </c>
      <c r="Q50" s="26">
        <f t="shared" si="18"/>
        <v>0</v>
      </c>
      <c r="R50" s="26">
        <f t="shared" si="18"/>
        <v>0</v>
      </c>
      <c r="S50" s="26">
        <f t="shared" si="18"/>
        <v>0</v>
      </c>
      <c r="T50" s="26">
        <f t="shared" si="18"/>
        <v>1250</v>
      </c>
      <c r="U50" s="26">
        <f t="shared" si="18"/>
        <v>0</v>
      </c>
      <c r="V50" s="26">
        <f t="shared" si="18"/>
        <v>0</v>
      </c>
      <c r="W50" s="26">
        <f t="shared" si="18"/>
        <v>0</v>
      </c>
      <c r="Z50" s="26">
        <f t="shared" si="4"/>
        <v>1266</v>
      </c>
      <c r="AA50" s="26">
        <f t="shared" ref="AA50:AS50" si="19">MAX(AA23-Z94,0)</f>
        <v>0</v>
      </c>
      <c r="AB50" s="26">
        <f t="shared" si="19"/>
        <v>0</v>
      </c>
      <c r="AC50" s="26">
        <f t="shared" si="19"/>
        <v>0</v>
      </c>
      <c r="AD50" s="26">
        <f t="shared" si="19"/>
        <v>0</v>
      </c>
      <c r="AE50" s="26">
        <f t="shared" si="19"/>
        <v>0</v>
      </c>
      <c r="AF50" s="26">
        <f t="shared" si="19"/>
        <v>0</v>
      </c>
      <c r="AG50" s="26">
        <f t="shared" si="19"/>
        <v>0</v>
      </c>
      <c r="AH50" s="26">
        <f t="shared" si="19"/>
        <v>872</v>
      </c>
      <c r="AI50" s="26">
        <f t="shared" si="19"/>
        <v>0</v>
      </c>
      <c r="AJ50" s="26">
        <f t="shared" si="19"/>
        <v>0</v>
      </c>
      <c r="AK50" s="26">
        <f t="shared" si="19"/>
        <v>0</v>
      </c>
      <c r="AL50" s="26">
        <f t="shared" si="19"/>
        <v>0</v>
      </c>
      <c r="AM50" s="26">
        <f t="shared" si="19"/>
        <v>0</v>
      </c>
      <c r="AN50" s="26">
        <f t="shared" si="19"/>
        <v>0</v>
      </c>
      <c r="AO50" s="26">
        <f t="shared" si="19"/>
        <v>0</v>
      </c>
      <c r="AP50" s="26">
        <f t="shared" si="19"/>
        <v>872</v>
      </c>
      <c r="AQ50" s="26">
        <f t="shared" si="19"/>
        <v>0</v>
      </c>
      <c r="AR50" s="26">
        <f t="shared" si="19"/>
        <v>0</v>
      </c>
      <c r="AS50" s="26">
        <f t="shared" si="19"/>
        <v>0</v>
      </c>
      <c r="AV50" s="26">
        <f t="shared" si="6"/>
        <v>448</v>
      </c>
      <c r="AW50" s="26">
        <f t="shared" si="2"/>
        <v>0</v>
      </c>
      <c r="AX50" s="26">
        <f t="shared" si="2"/>
        <v>0</v>
      </c>
      <c r="AY50" s="26">
        <f t="shared" si="2"/>
        <v>0</v>
      </c>
      <c r="AZ50" s="26">
        <f t="shared" si="2"/>
        <v>0</v>
      </c>
      <c r="BA50" s="26">
        <f t="shared" si="2"/>
        <v>0</v>
      </c>
      <c r="BB50" s="26">
        <f t="shared" si="2"/>
        <v>0</v>
      </c>
      <c r="BC50" s="26">
        <f t="shared" si="2"/>
        <v>0</v>
      </c>
      <c r="BD50" s="26">
        <f t="shared" si="2"/>
        <v>378</v>
      </c>
      <c r="BE50" s="26">
        <f t="shared" si="2"/>
        <v>0</v>
      </c>
      <c r="BF50" s="26">
        <f t="shared" si="2"/>
        <v>0</v>
      </c>
      <c r="BG50" s="26">
        <f t="shared" si="2"/>
        <v>0</v>
      </c>
      <c r="BH50" s="26">
        <f t="shared" si="2"/>
        <v>0</v>
      </c>
      <c r="BI50" s="26">
        <f t="shared" si="2"/>
        <v>0</v>
      </c>
      <c r="BJ50" s="26">
        <f t="shared" si="2"/>
        <v>0</v>
      </c>
      <c r="BK50" s="26">
        <f t="shared" si="2"/>
        <v>0</v>
      </c>
      <c r="BL50" s="26">
        <f t="shared" si="2"/>
        <v>378</v>
      </c>
      <c r="BM50" s="26">
        <f t="shared" si="2"/>
        <v>0</v>
      </c>
      <c r="BN50" s="26">
        <f t="shared" si="2"/>
        <v>0</v>
      </c>
      <c r="BO50" s="26">
        <f t="shared" si="2"/>
        <v>0</v>
      </c>
    </row>
    <row r="51" spans="1:68" x14ac:dyDescent="0.35">
      <c r="A51" s="7" t="str">
        <v>Serving - Call session control function hardware</v>
      </c>
      <c r="C51" s="9">
        <v>8</v>
      </c>
      <c r="D51" s="26">
        <f t="shared" si="7"/>
        <v>2</v>
      </c>
      <c r="E51" s="26">
        <f t="shared" ref="E51:W51" si="20">MAX(E24-D95,0)</f>
        <v>0</v>
      </c>
      <c r="F51" s="26">
        <f t="shared" si="20"/>
        <v>0</v>
      </c>
      <c r="G51" s="26">
        <f t="shared" si="20"/>
        <v>0</v>
      </c>
      <c r="H51" s="26">
        <f t="shared" si="20"/>
        <v>0</v>
      </c>
      <c r="I51" s="26">
        <f t="shared" si="20"/>
        <v>0</v>
      </c>
      <c r="J51" s="26">
        <f t="shared" si="20"/>
        <v>0</v>
      </c>
      <c r="K51" s="26">
        <f t="shared" si="20"/>
        <v>0</v>
      </c>
      <c r="L51" s="26">
        <f t="shared" si="20"/>
        <v>2</v>
      </c>
      <c r="M51" s="26">
        <f t="shared" si="20"/>
        <v>0</v>
      </c>
      <c r="N51" s="26">
        <f t="shared" si="20"/>
        <v>0</v>
      </c>
      <c r="O51" s="26">
        <f t="shared" si="20"/>
        <v>0</v>
      </c>
      <c r="P51" s="26">
        <f t="shared" si="20"/>
        <v>0</v>
      </c>
      <c r="Q51" s="26">
        <f t="shared" si="20"/>
        <v>0</v>
      </c>
      <c r="R51" s="26">
        <f t="shared" si="20"/>
        <v>0</v>
      </c>
      <c r="S51" s="26">
        <f t="shared" si="20"/>
        <v>0</v>
      </c>
      <c r="T51" s="26">
        <f t="shared" si="20"/>
        <v>2</v>
      </c>
      <c r="U51" s="26">
        <f t="shared" si="20"/>
        <v>0</v>
      </c>
      <c r="V51" s="26">
        <f t="shared" si="20"/>
        <v>0</v>
      </c>
      <c r="W51" s="26">
        <f t="shared" si="20"/>
        <v>0</v>
      </c>
      <c r="Z51" s="26">
        <f t="shared" si="4"/>
        <v>2</v>
      </c>
      <c r="AA51" s="26">
        <f t="shared" ref="AA51:AS51" si="21">MAX(AA24-Z95,0)</f>
        <v>0</v>
      </c>
      <c r="AB51" s="26">
        <f t="shared" si="21"/>
        <v>0</v>
      </c>
      <c r="AC51" s="26">
        <f t="shared" si="21"/>
        <v>0</v>
      </c>
      <c r="AD51" s="26">
        <f t="shared" si="21"/>
        <v>0</v>
      </c>
      <c r="AE51" s="26">
        <f t="shared" si="21"/>
        <v>0</v>
      </c>
      <c r="AF51" s="26">
        <f t="shared" si="21"/>
        <v>0</v>
      </c>
      <c r="AG51" s="26">
        <f t="shared" si="21"/>
        <v>0</v>
      </c>
      <c r="AH51" s="26">
        <f t="shared" si="21"/>
        <v>2</v>
      </c>
      <c r="AI51" s="26">
        <f t="shared" si="21"/>
        <v>0</v>
      </c>
      <c r="AJ51" s="26">
        <f t="shared" si="21"/>
        <v>0</v>
      </c>
      <c r="AK51" s="26">
        <f t="shared" si="21"/>
        <v>0</v>
      </c>
      <c r="AL51" s="26">
        <f t="shared" si="21"/>
        <v>0</v>
      </c>
      <c r="AM51" s="26">
        <f t="shared" si="21"/>
        <v>0</v>
      </c>
      <c r="AN51" s="26">
        <f t="shared" si="21"/>
        <v>0</v>
      </c>
      <c r="AO51" s="26">
        <f t="shared" si="21"/>
        <v>0</v>
      </c>
      <c r="AP51" s="26">
        <f t="shared" si="21"/>
        <v>2</v>
      </c>
      <c r="AQ51" s="26">
        <f t="shared" si="21"/>
        <v>0</v>
      </c>
      <c r="AR51" s="26">
        <f t="shared" si="21"/>
        <v>0</v>
      </c>
      <c r="AS51" s="26">
        <f t="shared" si="21"/>
        <v>0</v>
      </c>
      <c r="AV51" s="26">
        <f>D51-Z51</f>
        <v>0</v>
      </c>
      <c r="AW51" s="26">
        <f t="shared" si="2"/>
        <v>0</v>
      </c>
      <c r="AX51" s="26">
        <f t="shared" si="2"/>
        <v>0</v>
      </c>
      <c r="AY51" s="26">
        <f t="shared" si="2"/>
        <v>0</v>
      </c>
      <c r="AZ51" s="26">
        <f t="shared" si="2"/>
        <v>0</v>
      </c>
      <c r="BA51" s="26">
        <f t="shared" si="2"/>
        <v>0</v>
      </c>
      <c r="BB51" s="26">
        <f t="shared" si="2"/>
        <v>0</v>
      </c>
      <c r="BC51" s="26">
        <f t="shared" si="2"/>
        <v>0</v>
      </c>
      <c r="BD51" s="26">
        <f t="shared" si="2"/>
        <v>0</v>
      </c>
      <c r="BE51" s="26">
        <f t="shared" si="2"/>
        <v>0</v>
      </c>
      <c r="BF51" s="26">
        <f t="shared" si="2"/>
        <v>0</v>
      </c>
      <c r="BG51" s="26">
        <f t="shared" si="2"/>
        <v>0</v>
      </c>
      <c r="BH51" s="26">
        <f t="shared" si="2"/>
        <v>0</v>
      </c>
      <c r="BI51" s="26">
        <f t="shared" si="2"/>
        <v>0</v>
      </c>
      <c r="BJ51" s="26">
        <f t="shared" si="2"/>
        <v>0</v>
      </c>
      <c r="BK51" s="26">
        <f t="shared" si="2"/>
        <v>0</v>
      </c>
      <c r="BL51" s="26">
        <f t="shared" si="2"/>
        <v>0</v>
      </c>
      <c r="BM51" s="26">
        <f t="shared" si="2"/>
        <v>0</v>
      </c>
      <c r="BN51" s="26">
        <f t="shared" si="2"/>
        <v>0</v>
      </c>
      <c r="BO51" s="26">
        <f t="shared" si="2"/>
        <v>0</v>
      </c>
    </row>
    <row r="52" spans="1:68" x14ac:dyDescent="0.35">
      <c r="A52" s="7" t="str">
        <v>Serving - Call session control function software</v>
      </c>
      <c r="C52" s="9">
        <v>8</v>
      </c>
      <c r="D52" s="26">
        <f t="shared" si="7"/>
        <v>1714</v>
      </c>
      <c r="E52" s="26">
        <f t="shared" ref="E52:W52" si="22">MAX(E25-D96,0)</f>
        <v>0</v>
      </c>
      <c r="F52" s="26">
        <f t="shared" si="22"/>
        <v>0</v>
      </c>
      <c r="G52" s="26">
        <f t="shared" si="22"/>
        <v>0</v>
      </c>
      <c r="H52" s="26">
        <f t="shared" si="22"/>
        <v>0</v>
      </c>
      <c r="I52" s="26">
        <f t="shared" si="22"/>
        <v>0</v>
      </c>
      <c r="J52" s="26">
        <f t="shared" si="22"/>
        <v>0</v>
      </c>
      <c r="K52" s="26">
        <f t="shared" si="22"/>
        <v>0</v>
      </c>
      <c r="L52" s="26">
        <f t="shared" si="22"/>
        <v>1250</v>
      </c>
      <c r="M52" s="26">
        <f t="shared" si="22"/>
        <v>0</v>
      </c>
      <c r="N52" s="26">
        <f t="shared" si="22"/>
        <v>0</v>
      </c>
      <c r="O52" s="26">
        <f t="shared" si="22"/>
        <v>0</v>
      </c>
      <c r="P52" s="26">
        <f t="shared" si="22"/>
        <v>0</v>
      </c>
      <c r="Q52" s="26">
        <f t="shared" si="22"/>
        <v>0</v>
      </c>
      <c r="R52" s="26">
        <f t="shared" si="22"/>
        <v>0</v>
      </c>
      <c r="S52" s="26">
        <f t="shared" si="22"/>
        <v>0</v>
      </c>
      <c r="T52" s="26">
        <f t="shared" si="22"/>
        <v>1250</v>
      </c>
      <c r="U52" s="26">
        <f t="shared" si="22"/>
        <v>0</v>
      </c>
      <c r="V52" s="26">
        <f t="shared" si="22"/>
        <v>0</v>
      </c>
      <c r="W52" s="26">
        <f t="shared" si="22"/>
        <v>0</v>
      </c>
      <c r="Z52" s="26">
        <f t="shared" si="4"/>
        <v>1266</v>
      </c>
      <c r="AA52" s="26">
        <f t="shared" ref="AA52:AS52" si="23">MAX(AA25-Z96,0)</f>
        <v>0</v>
      </c>
      <c r="AB52" s="26">
        <f t="shared" si="23"/>
        <v>0</v>
      </c>
      <c r="AC52" s="26">
        <f t="shared" si="23"/>
        <v>0</v>
      </c>
      <c r="AD52" s="26">
        <f t="shared" si="23"/>
        <v>0</v>
      </c>
      <c r="AE52" s="26">
        <f t="shared" si="23"/>
        <v>0</v>
      </c>
      <c r="AF52" s="26">
        <f t="shared" si="23"/>
        <v>0</v>
      </c>
      <c r="AG52" s="26">
        <f t="shared" si="23"/>
        <v>0</v>
      </c>
      <c r="AH52" s="26">
        <f t="shared" si="23"/>
        <v>872</v>
      </c>
      <c r="AI52" s="26">
        <f t="shared" si="23"/>
        <v>0</v>
      </c>
      <c r="AJ52" s="26">
        <f t="shared" si="23"/>
        <v>0</v>
      </c>
      <c r="AK52" s="26">
        <f t="shared" si="23"/>
        <v>0</v>
      </c>
      <c r="AL52" s="26">
        <f t="shared" si="23"/>
        <v>0</v>
      </c>
      <c r="AM52" s="26">
        <f t="shared" si="23"/>
        <v>0</v>
      </c>
      <c r="AN52" s="26">
        <f t="shared" si="23"/>
        <v>0</v>
      </c>
      <c r="AO52" s="26">
        <f t="shared" si="23"/>
        <v>0</v>
      </c>
      <c r="AP52" s="26">
        <f t="shared" si="23"/>
        <v>872</v>
      </c>
      <c r="AQ52" s="26">
        <f t="shared" si="23"/>
        <v>0</v>
      </c>
      <c r="AR52" s="26">
        <f t="shared" si="23"/>
        <v>0</v>
      </c>
      <c r="AS52" s="26">
        <f t="shared" si="23"/>
        <v>0</v>
      </c>
      <c r="AV52" s="26">
        <f t="shared" si="6"/>
        <v>448</v>
      </c>
      <c r="AW52" s="26">
        <f t="shared" si="2"/>
        <v>0</v>
      </c>
      <c r="AX52" s="26">
        <f t="shared" si="2"/>
        <v>0</v>
      </c>
      <c r="AY52" s="26">
        <f t="shared" si="2"/>
        <v>0</v>
      </c>
      <c r="AZ52" s="26">
        <f t="shared" si="2"/>
        <v>0</v>
      </c>
      <c r="BA52" s="26">
        <f t="shared" si="2"/>
        <v>0</v>
      </c>
      <c r="BB52" s="26">
        <f t="shared" si="2"/>
        <v>0</v>
      </c>
      <c r="BC52" s="26">
        <f t="shared" si="2"/>
        <v>0</v>
      </c>
      <c r="BD52" s="26">
        <f t="shared" si="2"/>
        <v>378</v>
      </c>
      <c r="BE52" s="26">
        <f t="shared" si="2"/>
        <v>0</v>
      </c>
      <c r="BF52" s="26">
        <f t="shared" si="2"/>
        <v>0</v>
      </c>
      <c r="BG52" s="26">
        <f t="shared" si="2"/>
        <v>0</v>
      </c>
      <c r="BH52" s="26">
        <f t="shared" si="2"/>
        <v>0</v>
      </c>
      <c r="BI52" s="26">
        <f t="shared" si="2"/>
        <v>0</v>
      </c>
      <c r="BJ52" s="26">
        <f t="shared" si="2"/>
        <v>0</v>
      </c>
      <c r="BK52" s="26">
        <f t="shared" si="2"/>
        <v>0</v>
      </c>
      <c r="BL52" s="26">
        <f t="shared" si="2"/>
        <v>378</v>
      </c>
      <c r="BM52" s="26">
        <f t="shared" si="2"/>
        <v>0</v>
      </c>
      <c r="BN52" s="26">
        <f t="shared" si="2"/>
        <v>0</v>
      </c>
      <c r="BO52" s="26">
        <f t="shared" si="2"/>
        <v>0</v>
      </c>
    </row>
    <row r="53" spans="1:68" x14ac:dyDescent="0.35">
      <c r="A53" s="7" t="str">
        <v>Media resource function - hardware</v>
      </c>
      <c r="C53" s="9">
        <v>8</v>
      </c>
      <c r="D53" s="26">
        <f t="shared" si="7"/>
        <v>14</v>
      </c>
      <c r="E53" s="26">
        <f t="shared" ref="E53:W53" si="24">MAX(E26-D97,0)</f>
        <v>0</v>
      </c>
      <c r="F53" s="26">
        <f t="shared" si="24"/>
        <v>0</v>
      </c>
      <c r="G53" s="26">
        <f t="shared" si="24"/>
        <v>0</v>
      </c>
      <c r="H53" s="26">
        <f t="shared" si="24"/>
        <v>0</v>
      </c>
      <c r="I53" s="26">
        <f t="shared" si="24"/>
        <v>0</v>
      </c>
      <c r="J53" s="26">
        <f t="shared" si="24"/>
        <v>0</v>
      </c>
      <c r="K53" s="26">
        <f t="shared" si="24"/>
        <v>0</v>
      </c>
      <c r="L53" s="26">
        <f t="shared" si="24"/>
        <v>10</v>
      </c>
      <c r="M53" s="26">
        <f t="shared" si="24"/>
        <v>0</v>
      </c>
      <c r="N53" s="26">
        <f t="shared" si="24"/>
        <v>0</v>
      </c>
      <c r="O53" s="26">
        <f t="shared" si="24"/>
        <v>0</v>
      </c>
      <c r="P53" s="26">
        <f t="shared" si="24"/>
        <v>0</v>
      </c>
      <c r="Q53" s="26">
        <f t="shared" si="24"/>
        <v>0</v>
      </c>
      <c r="R53" s="26">
        <f t="shared" si="24"/>
        <v>0</v>
      </c>
      <c r="S53" s="26">
        <f t="shared" si="24"/>
        <v>0</v>
      </c>
      <c r="T53" s="26">
        <f t="shared" si="24"/>
        <v>10</v>
      </c>
      <c r="U53" s="26">
        <f t="shared" si="24"/>
        <v>0</v>
      </c>
      <c r="V53" s="26">
        <f t="shared" si="24"/>
        <v>0</v>
      </c>
      <c r="W53" s="26">
        <f t="shared" si="24"/>
        <v>0</v>
      </c>
      <c r="Z53" s="26">
        <f t="shared" si="4"/>
        <v>8</v>
      </c>
      <c r="AA53" s="26">
        <f t="shared" ref="AA53:AS53" si="25">MAX(AA26-Z97,0)</f>
        <v>0</v>
      </c>
      <c r="AB53" s="26">
        <f t="shared" si="25"/>
        <v>0</v>
      </c>
      <c r="AC53" s="26">
        <f t="shared" si="25"/>
        <v>0</v>
      </c>
      <c r="AD53" s="26">
        <f t="shared" si="25"/>
        <v>0</v>
      </c>
      <c r="AE53" s="26">
        <f t="shared" si="25"/>
        <v>0</v>
      </c>
      <c r="AF53" s="26">
        <f t="shared" si="25"/>
        <v>0</v>
      </c>
      <c r="AG53" s="26">
        <f t="shared" si="25"/>
        <v>0</v>
      </c>
      <c r="AH53" s="26">
        <f t="shared" si="25"/>
        <v>6</v>
      </c>
      <c r="AI53" s="26">
        <f t="shared" si="25"/>
        <v>0</v>
      </c>
      <c r="AJ53" s="26">
        <f t="shared" si="25"/>
        <v>0</v>
      </c>
      <c r="AK53" s="26">
        <f t="shared" si="25"/>
        <v>0</v>
      </c>
      <c r="AL53" s="26">
        <f t="shared" si="25"/>
        <v>0</v>
      </c>
      <c r="AM53" s="26">
        <f t="shared" si="25"/>
        <v>0</v>
      </c>
      <c r="AN53" s="26">
        <f t="shared" si="25"/>
        <v>0</v>
      </c>
      <c r="AO53" s="26">
        <f t="shared" si="25"/>
        <v>0</v>
      </c>
      <c r="AP53" s="26">
        <f t="shared" si="25"/>
        <v>6</v>
      </c>
      <c r="AQ53" s="26">
        <f t="shared" si="25"/>
        <v>0</v>
      </c>
      <c r="AR53" s="26">
        <f t="shared" si="25"/>
        <v>0</v>
      </c>
      <c r="AS53" s="26">
        <f t="shared" si="25"/>
        <v>0</v>
      </c>
      <c r="AV53" s="26">
        <f t="shared" si="6"/>
        <v>6</v>
      </c>
      <c r="AW53" s="26">
        <f t="shared" si="2"/>
        <v>0</v>
      </c>
      <c r="AX53" s="26">
        <f t="shared" si="2"/>
        <v>0</v>
      </c>
      <c r="AY53" s="26">
        <f t="shared" si="2"/>
        <v>0</v>
      </c>
      <c r="AZ53" s="26">
        <f t="shared" si="2"/>
        <v>0</v>
      </c>
      <c r="BA53" s="26">
        <f t="shared" si="2"/>
        <v>0</v>
      </c>
      <c r="BB53" s="26">
        <f t="shared" si="2"/>
        <v>0</v>
      </c>
      <c r="BC53" s="26">
        <f t="shared" si="2"/>
        <v>0</v>
      </c>
      <c r="BD53" s="26">
        <f t="shared" si="2"/>
        <v>4</v>
      </c>
      <c r="BE53" s="26">
        <f t="shared" si="2"/>
        <v>0</v>
      </c>
      <c r="BF53" s="26">
        <f t="shared" si="2"/>
        <v>0</v>
      </c>
      <c r="BG53" s="26">
        <f t="shared" si="2"/>
        <v>0</v>
      </c>
      <c r="BH53" s="26">
        <f t="shared" si="2"/>
        <v>0</v>
      </c>
      <c r="BI53" s="26">
        <f t="shared" si="2"/>
        <v>0</v>
      </c>
      <c r="BJ53" s="26">
        <f t="shared" si="2"/>
        <v>0</v>
      </c>
      <c r="BK53" s="26">
        <f t="shared" si="2"/>
        <v>0</v>
      </c>
      <c r="BL53" s="26">
        <f t="shared" si="2"/>
        <v>4</v>
      </c>
      <c r="BM53" s="26">
        <f t="shared" si="2"/>
        <v>0</v>
      </c>
      <c r="BN53" s="26">
        <f t="shared" si="2"/>
        <v>0</v>
      </c>
      <c r="BO53" s="26">
        <f t="shared" si="2"/>
        <v>0</v>
      </c>
    </row>
    <row r="54" spans="1:68" x14ac:dyDescent="0.35">
      <c r="A54" s="7" t="str">
        <v>Media resource function - software</v>
      </c>
      <c r="C54" s="9">
        <v>8</v>
      </c>
      <c r="D54" s="26">
        <f t="shared" si="7"/>
        <v>136710</v>
      </c>
      <c r="E54" s="26">
        <f t="shared" ref="E54:W54" si="26">MAX(E27-D98,0)</f>
        <v>0</v>
      </c>
      <c r="F54" s="26">
        <f t="shared" si="26"/>
        <v>0</v>
      </c>
      <c r="G54" s="26">
        <f t="shared" si="26"/>
        <v>0</v>
      </c>
      <c r="H54" s="26">
        <f t="shared" si="26"/>
        <v>0</v>
      </c>
      <c r="I54" s="26">
        <f t="shared" si="26"/>
        <v>0</v>
      </c>
      <c r="J54" s="26">
        <f t="shared" si="26"/>
        <v>0</v>
      </c>
      <c r="K54" s="26">
        <f t="shared" si="26"/>
        <v>0</v>
      </c>
      <c r="L54" s="26">
        <f t="shared" si="26"/>
        <v>97932</v>
      </c>
      <c r="M54" s="26">
        <f t="shared" si="26"/>
        <v>0</v>
      </c>
      <c r="N54" s="26">
        <f t="shared" si="26"/>
        <v>0</v>
      </c>
      <c r="O54" s="26">
        <f t="shared" si="26"/>
        <v>0</v>
      </c>
      <c r="P54" s="26">
        <f t="shared" si="26"/>
        <v>0</v>
      </c>
      <c r="Q54" s="26">
        <f t="shared" si="26"/>
        <v>0</v>
      </c>
      <c r="R54" s="26">
        <f t="shared" si="26"/>
        <v>0</v>
      </c>
      <c r="S54" s="26">
        <f t="shared" si="26"/>
        <v>0</v>
      </c>
      <c r="T54" s="26">
        <f t="shared" si="26"/>
        <v>97932</v>
      </c>
      <c r="U54" s="26">
        <f t="shared" si="26"/>
        <v>0</v>
      </c>
      <c r="V54" s="26">
        <f t="shared" si="26"/>
        <v>0</v>
      </c>
      <c r="W54" s="26">
        <f t="shared" si="26"/>
        <v>0</v>
      </c>
      <c r="Z54" s="26">
        <f t="shared" si="4"/>
        <v>106550</v>
      </c>
      <c r="AA54" s="26">
        <f t="shared" ref="AA54:AS54" si="27">MAX(AA27-Z98,0)</f>
        <v>0</v>
      </c>
      <c r="AB54" s="26">
        <f t="shared" si="27"/>
        <v>0</v>
      </c>
      <c r="AC54" s="26">
        <f t="shared" si="27"/>
        <v>0</v>
      </c>
      <c r="AD54" s="26">
        <f t="shared" si="27"/>
        <v>0</v>
      </c>
      <c r="AE54" s="26">
        <f t="shared" si="27"/>
        <v>0</v>
      </c>
      <c r="AF54" s="26">
        <f t="shared" si="27"/>
        <v>0</v>
      </c>
      <c r="AG54" s="26">
        <f t="shared" si="27"/>
        <v>0</v>
      </c>
      <c r="AH54" s="26">
        <f t="shared" si="27"/>
        <v>72418</v>
      </c>
      <c r="AI54" s="26">
        <f t="shared" si="27"/>
        <v>0</v>
      </c>
      <c r="AJ54" s="26">
        <f t="shared" si="27"/>
        <v>0</v>
      </c>
      <c r="AK54" s="26">
        <f t="shared" si="27"/>
        <v>0</v>
      </c>
      <c r="AL54" s="26">
        <f t="shared" si="27"/>
        <v>0</v>
      </c>
      <c r="AM54" s="26">
        <f t="shared" si="27"/>
        <v>0</v>
      </c>
      <c r="AN54" s="26">
        <f t="shared" si="27"/>
        <v>0</v>
      </c>
      <c r="AO54" s="26">
        <f t="shared" si="27"/>
        <v>0</v>
      </c>
      <c r="AP54" s="26">
        <f t="shared" si="27"/>
        <v>72418</v>
      </c>
      <c r="AQ54" s="26">
        <f t="shared" si="27"/>
        <v>0</v>
      </c>
      <c r="AR54" s="26">
        <f t="shared" si="27"/>
        <v>0</v>
      </c>
      <c r="AS54" s="26">
        <f t="shared" si="27"/>
        <v>0</v>
      </c>
      <c r="AV54" s="26">
        <f t="shared" si="6"/>
        <v>30160</v>
      </c>
      <c r="AW54" s="26">
        <f t="shared" si="2"/>
        <v>0</v>
      </c>
      <c r="AX54" s="26">
        <f t="shared" si="2"/>
        <v>0</v>
      </c>
      <c r="AY54" s="26">
        <f t="shared" si="2"/>
        <v>0</v>
      </c>
      <c r="AZ54" s="26">
        <f t="shared" si="2"/>
        <v>0</v>
      </c>
      <c r="BA54" s="26">
        <f t="shared" si="2"/>
        <v>0</v>
      </c>
      <c r="BB54" s="26">
        <f t="shared" si="2"/>
        <v>0</v>
      </c>
      <c r="BC54" s="26">
        <f t="shared" si="2"/>
        <v>0</v>
      </c>
      <c r="BD54" s="26">
        <f t="shared" si="2"/>
        <v>25514</v>
      </c>
      <c r="BE54" s="26">
        <f t="shared" si="2"/>
        <v>0</v>
      </c>
      <c r="BF54" s="26">
        <f t="shared" si="2"/>
        <v>0</v>
      </c>
      <c r="BG54" s="26">
        <f t="shared" si="2"/>
        <v>0</v>
      </c>
      <c r="BH54" s="26">
        <f t="shared" si="2"/>
        <v>0</v>
      </c>
      <c r="BI54" s="26">
        <f t="shared" si="2"/>
        <v>0</v>
      </c>
      <c r="BJ54" s="26">
        <f t="shared" si="2"/>
        <v>0</v>
      </c>
      <c r="BK54" s="26">
        <f t="shared" si="2"/>
        <v>0</v>
      </c>
      <c r="BL54" s="26">
        <f t="shared" si="2"/>
        <v>25514</v>
      </c>
      <c r="BM54" s="26">
        <f t="shared" si="2"/>
        <v>0</v>
      </c>
      <c r="BN54" s="26">
        <f t="shared" si="2"/>
        <v>0</v>
      </c>
      <c r="BO54" s="26">
        <f t="shared" si="2"/>
        <v>0</v>
      </c>
    </row>
    <row r="55" spans="1:68" x14ac:dyDescent="0.35">
      <c r="A55" s="7" t="str">
        <v>Access session border controller - hardware</v>
      </c>
      <c r="C55" s="9">
        <v>8</v>
      </c>
      <c r="D55" s="26">
        <f t="shared" si="7"/>
        <v>6</v>
      </c>
      <c r="E55" s="26">
        <f t="shared" ref="E55:W55" si="28">MAX(E28-D99,0)</f>
        <v>0</v>
      </c>
      <c r="F55" s="26">
        <f t="shared" si="28"/>
        <v>0</v>
      </c>
      <c r="G55" s="26">
        <f t="shared" si="28"/>
        <v>0</v>
      </c>
      <c r="H55" s="26">
        <f t="shared" si="28"/>
        <v>0</v>
      </c>
      <c r="I55" s="26">
        <f t="shared" si="28"/>
        <v>0</v>
      </c>
      <c r="J55" s="26">
        <f t="shared" si="28"/>
        <v>0</v>
      </c>
      <c r="K55" s="26">
        <f t="shared" si="28"/>
        <v>0</v>
      </c>
      <c r="L55" s="26">
        <f t="shared" si="28"/>
        <v>4</v>
      </c>
      <c r="M55" s="26">
        <f t="shared" si="28"/>
        <v>0</v>
      </c>
      <c r="N55" s="26">
        <f t="shared" si="28"/>
        <v>0</v>
      </c>
      <c r="O55" s="26">
        <f t="shared" si="28"/>
        <v>0</v>
      </c>
      <c r="P55" s="26">
        <f t="shared" si="28"/>
        <v>0</v>
      </c>
      <c r="Q55" s="26">
        <f t="shared" si="28"/>
        <v>0</v>
      </c>
      <c r="R55" s="26">
        <f t="shared" si="28"/>
        <v>0</v>
      </c>
      <c r="S55" s="26">
        <f t="shared" si="28"/>
        <v>0</v>
      </c>
      <c r="T55" s="26">
        <f t="shared" si="28"/>
        <v>4</v>
      </c>
      <c r="U55" s="26">
        <f t="shared" si="28"/>
        <v>0</v>
      </c>
      <c r="V55" s="26">
        <f t="shared" si="28"/>
        <v>0</v>
      </c>
      <c r="W55" s="26">
        <f t="shared" si="28"/>
        <v>0</v>
      </c>
      <c r="Z55" s="26">
        <f t="shared" si="4"/>
        <v>4</v>
      </c>
      <c r="AA55" s="26">
        <f t="shared" ref="AA55:AS55" si="29">MAX(AA28-Z99,0)</f>
        <v>0</v>
      </c>
      <c r="AB55" s="26">
        <f t="shared" si="29"/>
        <v>0</v>
      </c>
      <c r="AC55" s="26">
        <f t="shared" si="29"/>
        <v>0</v>
      </c>
      <c r="AD55" s="26">
        <f t="shared" si="29"/>
        <v>0</v>
      </c>
      <c r="AE55" s="26">
        <f t="shared" si="29"/>
        <v>0</v>
      </c>
      <c r="AF55" s="26">
        <f t="shared" si="29"/>
        <v>0</v>
      </c>
      <c r="AG55" s="26">
        <f t="shared" si="29"/>
        <v>0</v>
      </c>
      <c r="AH55" s="26">
        <f t="shared" si="29"/>
        <v>4</v>
      </c>
      <c r="AI55" s="26">
        <f t="shared" si="29"/>
        <v>0</v>
      </c>
      <c r="AJ55" s="26">
        <f t="shared" si="29"/>
        <v>0</v>
      </c>
      <c r="AK55" s="26">
        <f t="shared" si="29"/>
        <v>0</v>
      </c>
      <c r="AL55" s="26">
        <f t="shared" si="29"/>
        <v>0</v>
      </c>
      <c r="AM55" s="26">
        <f t="shared" si="29"/>
        <v>0</v>
      </c>
      <c r="AN55" s="26">
        <f t="shared" si="29"/>
        <v>0</v>
      </c>
      <c r="AO55" s="26">
        <f t="shared" si="29"/>
        <v>0</v>
      </c>
      <c r="AP55" s="26">
        <f t="shared" si="29"/>
        <v>4</v>
      </c>
      <c r="AQ55" s="26">
        <f t="shared" si="29"/>
        <v>0</v>
      </c>
      <c r="AR55" s="26">
        <f t="shared" si="29"/>
        <v>0</v>
      </c>
      <c r="AS55" s="26">
        <f t="shared" si="29"/>
        <v>0</v>
      </c>
      <c r="AV55" s="26">
        <f t="shared" si="6"/>
        <v>2</v>
      </c>
      <c r="AW55" s="26">
        <f t="shared" si="2"/>
        <v>0</v>
      </c>
      <c r="AX55" s="26">
        <f t="shared" si="2"/>
        <v>0</v>
      </c>
      <c r="AY55" s="26">
        <f t="shared" si="2"/>
        <v>0</v>
      </c>
      <c r="AZ55" s="26">
        <f t="shared" si="2"/>
        <v>0</v>
      </c>
      <c r="BA55" s="26">
        <f t="shared" si="2"/>
        <v>0</v>
      </c>
      <c r="BB55" s="26">
        <f t="shared" si="2"/>
        <v>0</v>
      </c>
      <c r="BC55" s="26">
        <f t="shared" si="2"/>
        <v>0</v>
      </c>
      <c r="BD55" s="26">
        <f t="shared" si="2"/>
        <v>0</v>
      </c>
      <c r="BE55" s="26">
        <f t="shared" si="2"/>
        <v>0</v>
      </c>
      <c r="BF55" s="26">
        <f t="shared" si="2"/>
        <v>0</v>
      </c>
      <c r="BG55" s="26">
        <f t="shared" si="2"/>
        <v>0</v>
      </c>
      <c r="BH55" s="26">
        <f t="shared" si="2"/>
        <v>0</v>
      </c>
      <c r="BI55" s="26">
        <f t="shared" si="2"/>
        <v>0</v>
      </c>
      <c r="BJ55" s="26">
        <f t="shared" si="2"/>
        <v>0</v>
      </c>
      <c r="BK55" s="26">
        <f t="shared" si="2"/>
        <v>0</v>
      </c>
      <c r="BL55" s="26">
        <f t="shared" si="2"/>
        <v>0</v>
      </c>
      <c r="BM55" s="26">
        <f t="shared" si="2"/>
        <v>0</v>
      </c>
      <c r="BN55" s="26">
        <f t="shared" si="2"/>
        <v>0</v>
      </c>
      <c r="BO55" s="26">
        <f t="shared" si="2"/>
        <v>0</v>
      </c>
    </row>
    <row r="56" spans="1:68" x14ac:dyDescent="0.35">
      <c r="A56" s="7" t="str">
        <v>Access session border controller - software</v>
      </c>
      <c r="C56" s="9">
        <v>8</v>
      </c>
      <c r="D56" s="26">
        <f t="shared" si="7"/>
        <v>10</v>
      </c>
      <c r="E56" s="26">
        <f t="shared" ref="E56:W56" si="30">MAX(E29-D100,0)</f>
        <v>0</v>
      </c>
      <c r="F56" s="26">
        <f t="shared" si="30"/>
        <v>0</v>
      </c>
      <c r="G56" s="26">
        <f t="shared" si="30"/>
        <v>0</v>
      </c>
      <c r="H56" s="26">
        <f t="shared" si="30"/>
        <v>0</v>
      </c>
      <c r="I56" s="26">
        <f t="shared" si="30"/>
        <v>0</v>
      </c>
      <c r="J56" s="26">
        <f t="shared" si="30"/>
        <v>0</v>
      </c>
      <c r="K56" s="26">
        <f t="shared" si="30"/>
        <v>0</v>
      </c>
      <c r="L56" s="26">
        <f t="shared" si="30"/>
        <v>8</v>
      </c>
      <c r="M56" s="26">
        <f t="shared" si="30"/>
        <v>0</v>
      </c>
      <c r="N56" s="26">
        <f t="shared" si="30"/>
        <v>0</v>
      </c>
      <c r="O56" s="26">
        <f t="shared" si="30"/>
        <v>0</v>
      </c>
      <c r="P56" s="26">
        <f t="shared" si="30"/>
        <v>0</v>
      </c>
      <c r="Q56" s="26">
        <f t="shared" si="30"/>
        <v>0</v>
      </c>
      <c r="R56" s="26">
        <f t="shared" si="30"/>
        <v>0</v>
      </c>
      <c r="S56" s="26">
        <f t="shared" si="30"/>
        <v>0</v>
      </c>
      <c r="T56" s="26">
        <f t="shared" si="30"/>
        <v>8</v>
      </c>
      <c r="U56" s="26">
        <f t="shared" si="30"/>
        <v>0</v>
      </c>
      <c r="V56" s="26">
        <f t="shared" si="30"/>
        <v>0</v>
      </c>
      <c r="W56" s="26">
        <f t="shared" si="30"/>
        <v>0</v>
      </c>
      <c r="Z56" s="26">
        <f t="shared" si="4"/>
        <v>8</v>
      </c>
      <c r="AA56" s="26">
        <f t="shared" ref="AA56:AS56" si="31">MAX(AA29-Z100,0)</f>
        <v>0</v>
      </c>
      <c r="AB56" s="26">
        <f t="shared" si="31"/>
        <v>0</v>
      </c>
      <c r="AC56" s="26">
        <f t="shared" si="31"/>
        <v>0</v>
      </c>
      <c r="AD56" s="26">
        <f t="shared" si="31"/>
        <v>0</v>
      </c>
      <c r="AE56" s="26">
        <f t="shared" si="31"/>
        <v>0</v>
      </c>
      <c r="AF56" s="26">
        <f t="shared" si="31"/>
        <v>0</v>
      </c>
      <c r="AG56" s="26">
        <f t="shared" si="31"/>
        <v>0</v>
      </c>
      <c r="AH56" s="26">
        <f t="shared" si="31"/>
        <v>6</v>
      </c>
      <c r="AI56" s="26">
        <f t="shared" si="31"/>
        <v>0</v>
      </c>
      <c r="AJ56" s="26">
        <f t="shared" si="31"/>
        <v>0</v>
      </c>
      <c r="AK56" s="26">
        <f t="shared" si="31"/>
        <v>0</v>
      </c>
      <c r="AL56" s="26">
        <f t="shared" si="31"/>
        <v>0</v>
      </c>
      <c r="AM56" s="26">
        <f t="shared" si="31"/>
        <v>0</v>
      </c>
      <c r="AN56" s="26">
        <f t="shared" si="31"/>
        <v>0</v>
      </c>
      <c r="AO56" s="26">
        <f t="shared" si="31"/>
        <v>0</v>
      </c>
      <c r="AP56" s="26">
        <f t="shared" si="31"/>
        <v>6</v>
      </c>
      <c r="AQ56" s="26">
        <f t="shared" si="31"/>
        <v>0</v>
      </c>
      <c r="AR56" s="26">
        <f t="shared" si="31"/>
        <v>0</v>
      </c>
      <c r="AS56" s="26">
        <f t="shared" si="31"/>
        <v>0</v>
      </c>
      <c r="AV56" s="26">
        <f t="shared" si="6"/>
        <v>2</v>
      </c>
      <c r="AW56" s="26">
        <f t="shared" si="2"/>
        <v>0</v>
      </c>
      <c r="AX56" s="26">
        <f t="shared" si="2"/>
        <v>0</v>
      </c>
      <c r="AY56" s="26">
        <f t="shared" si="2"/>
        <v>0</v>
      </c>
      <c r="AZ56" s="26">
        <f t="shared" si="2"/>
        <v>0</v>
      </c>
      <c r="BA56" s="26">
        <f t="shared" si="2"/>
        <v>0</v>
      </c>
      <c r="BB56" s="26">
        <f t="shared" si="2"/>
        <v>0</v>
      </c>
      <c r="BC56" s="26">
        <f t="shared" si="2"/>
        <v>0</v>
      </c>
      <c r="BD56" s="26">
        <f t="shared" si="2"/>
        <v>2</v>
      </c>
      <c r="BE56" s="26">
        <f t="shared" ref="BE56:BE58" si="32">M56-AI56</f>
        <v>0</v>
      </c>
      <c r="BF56" s="26">
        <f t="shared" ref="BF56:BF58" si="33">N56-AJ56</f>
        <v>0</v>
      </c>
      <c r="BG56" s="26">
        <f t="shared" ref="BG56:BG58" si="34">O56-AK56</f>
        <v>0</v>
      </c>
      <c r="BH56" s="26">
        <f t="shared" ref="BH56:BH58" si="35">P56-AL56</f>
        <v>0</v>
      </c>
      <c r="BI56" s="26">
        <f t="shared" ref="BI56:BI58" si="36">Q56-AM56</f>
        <v>0</v>
      </c>
      <c r="BJ56" s="26">
        <f t="shared" ref="BJ56:BJ58" si="37">R56-AN56</f>
        <v>0</v>
      </c>
      <c r="BK56" s="26">
        <f t="shared" ref="BK56:BK58" si="38">S56-AO56</f>
        <v>0</v>
      </c>
      <c r="BL56" s="26">
        <f t="shared" ref="BL56:BL58" si="39">T56-AP56</f>
        <v>2</v>
      </c>
      <c r="BM56" s="26">
        <f t="shared" ref="BM56:BM58" si="40">U56-AQ56</f>
        <v>0</v>
      </c>
      <c r="BN56" s="26">
        <f t="shared" ref="BN56:BN58" si="41">V56-AR56</f>
        <v>0</v>
      </c>
      <c r="BO56" s="26">
        <f t="shared" ref="BO56:BO58" si="42">W56-AS56</f>
        <v>0</v>
      </c>
    </row>
    <row r="57" spans="1:68" x14ac:dyDescent="0.35">
      <c r="A57" s="7" t="str">
        <v>Internet exchange point session border controller - hardware</v>
      </c>
      <c r="C57" s="9">
        <v>8</v>
      </c>
      <c r="D57" s="26">
        <f t="shared" si="7"/>
        <v>4</v>
      </c>
      <c r="E57" s="26">
        <f t="shared" ref="E57:W57" si="43">MAX(E30-D101,0)</f>
        <v>0</v>
      </c>
      <c r="F57" s="26">
        <f t="shared" si="43"/>
        <v>0</v>
      </c>
      <c r="G57" s="26">
        <f t="shared" si="43"/>
        <v>0</v>
      </c>
      <c r="H57" s="26">
        <f t="shared" si="43"/>
        <v>0</v>
      </c>
      <c r="I57" s="26">
        <f t="shared" si="43"/>
        <v>0</v>
      </c>
      <c r="J57" s="26">
        <f t="shared" si="43"/>
        <v>0</v>
      </c>
      <c r="K57" s="26">
        <f t="shared" si="43"/>
        <v>0</v>
      </c>
      <c r="L57" s="26">
        <f t="shared" si="43"/>
        <v>4</v>
      </c>
      <c r="M57" s="26">
        <f t="shared" si="43"/>
        <v>0</v>
      </c>
      <c r="N57" s="26">
        <f t="shared" si="43"/>
        <v>0</v>
      </c>
      <c r="O57" s="26">
        <f t="shared" si="43"/>
        <v>0</v>
      </c>
      <c r="P57" s="26">
        <f t="shared" si="43"/>
        <v>0</v>
      </c>
      <c r="Q57" s="26">
        <f t="shared" si="43"/>
        <v>0</v>
      </c>
      <c r="R57" s="26">
        <f t="shared" si="43"/>
        <v>0</v>
      </c>
      <c r="S57" s="26">
        <f t="shared" si="43"/>
        <v>0</v>
      </c>
      <c r="T57" s="26">
        <f t="shared" si="43"/>
        <v>4</v>
      </c>
      <c r="U57" s="26">
        <f t="shared" si="43"/>
        <v>0</v>
      </c>
      <c r="V57" s="26">
        <f t="shared" si="43"/>
        <v>0</v>
      </c>
      <c r="W57" s="26">
        <f t="shared" si="43"/>
        <v>0</v>
      </c>
      <c r="Z57" s="26">
        <f t="shared" si="4"/>
        <v>4</v>
      </c>
      <c r="AA57" s="26">
        <f t="shared" ref="AA57:AS57" si="44">MAX(AA30-Z101,0)</f>
        <v>0</v>
      </c>
      <c r="AB57" s="26">
        <f t="shared" si="44"/>
        <v>0</v>
      </c>
      <c r="AC57" s="26">
        <f t="shared" si="44"/>
        <v>0</v>
      </c>
      <c r="AD57" s="26">
        <f t="shared" si="44"/>
        <v>0</v>
      </c>
      <c r="AE57" s="26">
        <f t="shared" si="44"/>
        <v>0</v>
      </c>
      <c r="AF57" s="26">
        <f t="shared" si="44"/>
        <v>0</v>
      </c>
      <c r="AG57" s="26">
        <f t="shared" si="44"/>
        <v>0</v>
      </c>
      <c r="AH57" s="26">
        <f t="shared" si="44"/>
        <v>2</v>
      </c>
      <c r="AI57" s="26">
        <f t="shared" si="44"/>
        <v>0</v>
      </c>
      <c r="AJ57" s="26">
        <f t="shared" si="44"/>
        <v>0</v>
      </c>
      <c r="AK57" s="26">
        <f t="shared" si="44"/>
        <v>0</v>
      </c>
      <c r="AL57" s="26">
        <f t="shared" si="44"/>
        <v>0</v>
      </c>
      <c r="AM57" s="26">
        <f t="shared" si="44"/>
        <v>0</v>
      </c>
      <c r="AN57" s="26">
        <f t="shared" si="44"/>
        <v>0</v>
      </c>
      <c r="AO57" s="26">
        <f t="shared" si="44"/>
        <v>0</v>
      </c>
      <c r="AP57" s="26">
        <f t="shared" si="44"/>
        <v>2</v>
      </c>
      <c r="AQ57" s="26">
        <f t="shared" si="44"/>
        <v>0</v>
      </c>
      <c r="AR57" s="26">
        <f t="shared" si="44"/>
        <v>0</v>
      </c>
      <c r="AS57" s="26">
        <f t="shared" si="44"/>
        <v>0</v>
      </c>
      <c r="AV57" s="26">
        <f t="shared" si="6"/>
        <v>0</v>
      </c>
      <c r="AW57" s="26">
        <f t="shared" ref="AW57:AW58" si="45">E57-AA57</f>
        <v>0</v>
      </c>
      <c r="AX57" s="26">
        <f t="shared" ref="AX57:AX58" si="46">F57-AB57</f>
        <v>0</v>
      </c>
      <c r="AY57" s="26">
        <f t="shared" ref="AY57:AY58" si="47">G57-AC57</f>
        <v>0</v>
      </c>
      <c r="AZ57" s="26">
        <f t="shared" ref="AZ57:AZ58" si="48">H57-AD57</f>
        <v>0</v>
      </c>
      <c r="BA57" s="26">
        <f t="shared" ref="BA57:BA58" si="49">I57-AE57</f>
        <v>0</v>
      </c>
      <c r="BB57" s="26">
        <f t="shared" ref="BB57:BB58" si="50">J57-AF57</f>
        <v>0</v>
      </c>
      <c r="BC57" s="26">
        <f t="shared" ref="BC57:BC58" si="51">K57-AG57</f>
        <v>0</v>
      </c>
      <c r="BD57" s="26">
        <f t="shared" ref="BD57:BD58" si="52">L57-AH57</f>
        <v>2</v>
      </c>
      <c r="BE57" s="26">
        <f t="shared" si="32"/>
        <v>0</v>
      </c>
      <c r="BF57" s="26">
        <f t="shared" si="33"/>
        <v>0</v>
      </c>
      <c r="BG57" s="26">
        <f t="shared" si="34"/>
        <v>0</v>
      </c>
      <c r="BH57" s="26">
        <f t="shared" si="35"/>
        <v>0</v>
      </c>
      <c r="BI57" s="26">
        <f t="shared" si="36"/>
        <v>0</v>
      </c>
      <c r="BJ57" s="26">
        <f t="shared" si="37"/>
        <v>0</v>
      </c>
      <c r="BK57" s="26">
        <f t="shared" si="38"/>
        <v>0</v>
      </c>
      <c r="BL57" s="26">
        <f t="shared" si="39"/>
        <v>2</v>
      </c>
      <c r="BM57" s="26">
        <f t="shared" si="40"/>
        <v>0</v>
      </c>
      <c r="BN57" s="26">
        <f t="shared" si="41"/>
        <v>0</v>
      </c>
      <c r="BO57" s="26">
        <f t="shared" si="42"/>
        <v>0</v>
      </c>
    </row>
    <row r="58" spans="1:68" x14ac:dyDescent="0.35">
      <c r="A58" s="7" t="str">
        <v>Internet exchange point session border controller - software</v>
      </c>
      <c r="C58" s="9">
        <v>8</v>
      </c>
      <c r="D58" s="26">
        <f>D31</f>
        <v>8</v>
      </c>
      <c r="E58" s="26">
        <f>MAX(E31-D102,0)</f>
        <v>0</v>
      </c>
      <c r="F58" s="26">
        <f>MAX(F31-E102,0)</f>
        <v>0</v>
      </c>
      <c r="G58" s="26">
        <f>MAX(G31-F102,0)</f>
        <v>0</v>
      </c>
      <c r="H58" s="26">
        <f t="shared" ref="H58:W58" si="53">MAX(H31-G102,0)</f>
        <v>0</v>
      </c>
      <c r="I58" s="26">
        <f t="shared" si="53"/>
        <v>0</v>
      </c>
      <c r="J58" s="26">
        <f t="shared" si="53"/>
        <v>0</v>
      </c>
      <c r="K58" s="26">
        <f t="shared" si="53"/>
        <v>0</v>
      </c>
      <c r="L58" s="26">
        <f t="shared" si="53"/>
        <v>6</v>
      </c>
      <c r="M58" s="26">
        <f>MAX(M31-L102,0)</f>
        <v>0</v>
      </c>
      <c r="N58" s="26">
        <f t="shared" si="53"/>
        <v>0</v>
      </c>
      <c r="O58" s="26">
        <f t="shared" si="53"/>
        <v>0</v>
      </c>
      <c r="P58" s="26">
        <f t="shared" si="53"/>
        <v>0</v>
      </c>
      <c r="Q58" s="26">
        <f t="shared" si="53"/>
        <v>0</v>
      </c>
      <c r="R58" s="26">
        <f t="shared" si="53"/>
        <v>0</v>
      </c>
      <c r="S58" s="26">
        <f t="shared" si="53"/>
        <v>0</v>
      </c>
      <c r="T58" s="26">
        <f t="shared" si="53"/>
        <v>6</v>
      </c>
      <c r="U58" s="26">
        <f t="shared" si="53"/>
        <v>0</v>
      </c>
      <c r="V58" s="26">
        <f t="shared" si="53"/>
        <v>0</v>
      </c>
      <c r="W58" s="26">
        <f t="shared" si="53"/>
        <v>0</v>
      </c>
      <c r="X58" s="15" t="s">
        <v>374</v>
      </c>
      <c r="Z58" s="26">
        <f t="shared" si="4"/>
        <v>6</v>
      </c>
      <c r="AA58" s="26">
        <f t="shared" ref="AA58:AS58" si="54">MAX(AA31-Z102,0)</f>
        <v>0</v>
      </c>
      <c r="AB58" s="26">
        <f t="shared" si="54"/>
        <v>0</v>
      </c>
      <c r="AC58" s="26">
        <f t="shared" si="54"/>
        <v>0</v>
      </c>
      <c r="AD58" s="26">
        <f t="shared" si="54"/>
        <v>0</v>
      </c>
      <c r="AE58" s="26">
        <f t="shared" si="54"/>
        <v>0</v>
      </c>
      <c r="AF58" s="26">
        <f t="shared" si="54"/>
        <v>0</v>
      </c>
      <c r="AG58" s="26">
        <f t="shared" si="54"/>
        <v>0</v>
      </c>
      <c r="AH58" s="26">
        <f t="shared" si="54"/>
        <v>4</v>
      </c>
      <c r="AI58" s="26">
        <f t="shared" si="54"/>
        <v>0</v>
      </c>
      <c r="AJ58" s="26">
        <f t="shared" si="54"/>
        <v>0</v>
      </c>
      <c r="AK58" s="26">
        <f t="shared" si="54"/>
        <v>0</v>
      </c>
      <c r="AL58" s="26">
        <f t="shared" si="54"/>
        <v>0</v>
      </c>
      <c r="AM58" s="26">
        <f t="shared" si="54"/>
        <v>0</v>
      </c>
      <c r="AN58" s="26">
        <f t="shared" si="54"/>
        <v>0</v>
      </c>
      <c r="AO58" s="26">
        <f t="shared" si="54"/>
        <v>0</v>
      </c>
      <c r="AP58" s="26">
        <f t="shared" si="54"/>
        <v>4</v>
      </c>
      <c r="AQ58" s="26">
        <f t="shared" si="54"/>
        <v>0</v>
      </c>
      <c r="AR58" s="26">
        <f t="shared" si="54"/>
        <v>0</v>
      </c>
      <c r="AS58" s="26">
        <f t="shared" si="54"/>
        <v>0</v>
      </c>
      <c r="AT58" s="15" t="s">
        <v>373</v>
      </c>
      <c r="AV58" s="26">
        <f t="shared" si="6"/>
        <v>2</v>
      </c>
      <c r="AW58" s="26">
        <f t="shared" si="45"/>
        <v>0</v>
      </c>
      <c r="AX58" s="26">
        <f t="shared" si="46"/>
        <v>0</v>
      </c>
      <c r="AY58" s="26">
        <f t="shared" si="47"/>
        <v>0</v>
      </c>
      <c r="AZ58" s="26">
        <f t="shared" si="48"/>
        <v>0</v>
      </c>
      <c r="BA58" s="26">
        <f t="shared" si="49"/>
        <v>0</v>
      </c>
      <c r="BB58" s="26">
        <f t="shared" si="50"/>
        <v>0</v>
      </c>
      <c r="BC58" s="26">
        <f t="shared" si="51"/>
        <v>0</v>
      </c>
      <c r="BD58" s="26">
        <f t="shared" si="52"/>
        <v>2</v>
      </c>
      <c r="BE58" s="26">
        <f t="shared" si="32"/>
        <v>0</v>
      </c>
      <c r="BF58" s="26">
        <f t="shared" si="33"/>
        <v>0</v>
      </c>
      <c r="BG58" s="26">
        <f t="shared" si="34"/>
        <v>0</v>
      </c>
      <c r="BH58" s="26">
        <f t="shared" si="35"/>
        <v>0</v>
      </c>
      <c r="BI58" s="26">
        <f t="shared" si="36"/>
        <v>0</v>
      </c>
      <c r="BJ58" s="26">
        <f t="shared" si="37"/>
        <v>0</v>
      </c>
      <c r="BK58" s="26">
        <f t="shared" si="38"/>
        <v>0</v>
      </c>
      <c r="BL58" s="26">
        <f t="shared" si="39"/>
        <v>2</v>
      </c>
      <c r="BM58" s="26">
        <f t="shared" si="40"/>
        <v>0</v>
      </c>
      <c r="BN58" s="26">
        <f t="shared" si="41"/>
        <v>0</v>
      </c>
      <c r="BO58" s="26">
        <f t="shared" si="42"/>
        <v>0</v>
      </c>
      <c r="BP58" s="15" t="s">
        <v>380</v>
      </c>
    </row>
    <row r="60" spans="1:68" x14ac:dyDescent="0.35">
      <c r="A60" s="29" t="s">
        <v>363</v>
      </c>
    </row>
    <row r="62" spans="1:68" x14ac:dyDescent="0.35">
      <c r="A62" s="12" t="s">
        <v>368</v>
      </c>
    </row>
    <row r="63" spans="1:68" x14ac:dyDescent="0.35">
      <c r="B63" s="15"/>
      <c r="C63" s="15"/>
      <c r="D63" s="12">
        <v>1</v>
      </c>
      <c r="E63" s="12">
        <v>2</v>
      </c>
      <c r="F63" s="12">
        <v>3</v>
      </c>
      <c r="G63" s="12">
        <v>4</v>
      </c>
      <c r="H63" s="12">
        <v>5</v>
      </c>
      <c r="I63" s="12">
        <v>6</v>
      </c>
      <c r="J63" s="12">
        <v>7</v>
      </c>
      <c r="K63" s="12">
        <v>8</v>
      </c>
      <c r="L63" s="12">
        <v>9</v>
      </c>
      <c r="M63" s="12">
        <v>10</v>
      </c>
      <c r="N63" s="12">
        <v>11</v>
      </c>
      <c r="O63" s="12">
        <v>12</v>
      </c>
      <c r="P63" s="12">
        <v>13</v>
      </c>
      <c r="Q63" s="12">
        <v>14</v>
      </c>
      <c r="R63" s="12">
        <v>15</v>
      </c>
      <c r="S63" s="12">
        <v>16</v>
      </c>
      <c r="T63" s="12">
        <v>17</v>
      </c>
      <c r="U63" s="12">
        <v>18</v>
      </c>
      <c r="V63" s="12">
        <v>19</v>
      </c>
      <c r="W63" s="12">
        <v>20</v>
      </c>
      <c r="Z63" s="18" cm="1">
        <f t="array" ref="Z63:AS63">time_index</f>
        <v>1</v>
      </c>
      <c r="AA63">
        <v>2</v>
      </c>
      <c r="AB63" s="12">
        <v>3</v>
      </c>
      <c r="AC63" s="12">
        <v>4</v>
      </c>
      <c r="AD63" s="12">
        <v>5</v>
      </c>
      <c r="AE63" s="12">
        <v>6</v>
      </c>
      <c r="AF63" s="12">
        <v>7</v>
      </c>
      <c r="AG63" s="12">
        <v>8</v>
      </c>
      <c r="AH63" s="12">
        <v>9</v>
      </c>
      <c r="AI63" s="12">
        <v>10</v>
      </c>
      <c r="AJ63" s="12">
        <v>11</v>
      </c>
      <c r="AK63" s="12">
        <v>12</v>
      </c>
      <c r="AL63" s="12">
        <v>13</v>
      </c>
      <c r="AM63" s="12">
        <v>14</v>
      </c>
      <c r="AN63" s="12">
        <v>15</v>
      </c>
      <c r="AO63" s="12">
        <v>16</v>
      </c>
      <c r="AP63" s="12">
        <v>17</v>
      </c>
      <c r="AQ63" s="12">
        <v>18</v>
      </c>
      <c r="AR63" s="12">
        <v>19</v>
      </c>
      <c r="AS63" s="12">
        <v>20</v>
      </c>
    </row>
    <row r="64" spans="1:68" ht="29" x14ac:dyDescent="0.35">
      <c r="A64" s="129"/>
      <c r="C64" s="56" t="s">
        <v>152</v>
      </c>
      <c r="D64" s="52" cm="1">
        <f t="array" ref="D64:W64">years</f>
        <v>2018</v>
      </c>
      <c r="E64" s="52">
        <v>2019</v>
      </c>
      <c r="F64" s="52">
        <v>2020</v>
      </c>
      <c r="G64" s="52">
        <v>2021</v>
      </c>
      <c r="H64" s="52">
        <v>2022</v>
      </c>
      <c r="I64" s="52">
        <v>2023</v>
      </c>
      <c r="J64" s="52">
        <v>2024</v>
      </c>
      <c r="K64" s="52">
        <v>2025</v>
      </c>
      <c r="L64" s="52">
        <v>2026</v>
      </c>
      <c r="M64" s="52">
        <v>2027</v>
      </c>
      <c r="N64" s="52">
        <v>2028</v>
      </c>
      <c r="O64" s="52">
        <v>2029</v>
      </c>
      <c r="P64" s="52">
        <v>2030</v>
      </c>
      <c r="Q64" s="52">
        <v>2031</v>
      </c>
      <c r="R64" s="52">
        <v>2032</v>
      </c>
      <c r="S64" s="52">
        <v>2033</v>
      </c>
      <c r="T64" s="52">
        <v>2034</v>
      </c>
      <c r="U64" s="52">
        <v>2035</v>
      </c>
      <c r="V64" s="52">
        <v>2036</v>
      </c>
      <c r="W64" s="52">
        <v>2037</v>
      </c>
      <c r="Z64" s="229" cm="1">
        <f t="array" ref="Z64:AS64">years</f>
        <v>2018</v>
      </c>
      <c r="AA64" s="53">
        <v>2019</v>
      </c>
      <c r="AB64" s="52">
        <v>2020</v>
      </c>
      <c r="AC64" s="52">
        <v>2021</v>
      </c>
      <c r="AD64" s="52">
        <v>2022</v>
      </c>
      <c r="AE64" s="52">
        <v>2023</v>
      </c>
      <c r="AF64" s="52">
        <v>2024</v>
      </c>
      <c r="AG64" s="52">
        <v>2025</v>
      </c>
      <c r="AH64" s="52">
        <v>2026</v>
      </c>
      <c r="AI64" s="52">
        <v>2027</v>
      </c>
      <c r="AJ64" s="52">
        <v>2028</v>
      </c>
      <c r="AK64" s="52">
        <v>2029</v>
      </c>
      <c r="AL64" s="52">
        <v>2030</v>
      </c>
      <c r="AM64" s="52">
        <v>2031</v>
      </c>
      <c r="AN64" s="52">
        <v>2032</v>
      </c>
      <c r="AO64" s="52">
        <v>2033</v>
      </c>
      <c r="AP64" s="52">
        <v>2034</v>
      </c>
      <c r="AQ64" s="52">
        <v>2035</v>
      </c>
      <c r="AR64" s="52">
        <v>2036</v>
      </c>
      <c r="AS64" s="52">
        <v>2037</v>
      </c>
    </row>
    <row r="65" spans="1:49" x14ac:dyDescent="0.35">
      <c r="A65" s="7" t="str" cm="1">
        <f t="array" ref="A65:A80">core_elements</f>
        <v>Application server hardware</v>
      </c>
      <c r="C65" s="9">
        <v>8</v>
      </c>
      <c r="D65" s="73">
        <v>0</v>
      </c>
      <c r="E65" s="26">
        <f>IF(E$63&gt;=$C65,INDEX($D43:E43,1,MATCH(E$63-$C65+1,$D$41:E$41)),0)</f>
        <v>0</v>
      </c>
      <c r="F65" s="26">
        <f>IF(F$63&gt;=$C65,INDEX($D43:F43,1,MATCH(F$63-$C65+1,$D$41:F$41)),0)</f>
        <v>0</v>
      </c>
      <c r="G65" s="26">
        <f>IF(G$63&gt;=$C65,INDEX($D43:G43,1,MATCH(G$63-$C65+1,$D$41:G$41)),0)</f>
        <v>0</v>
      </c>
      <c r="H65" s="26">
        <f>IF(H$63&gt;=$C65,INDEX($D43:H43,1,MATCH(H$63-$C65+1,$D$41:H$41)),0)</f>
        <v>0</v>
      </c>
      <c r="I65" s="26">
        <f>IF(I$63&gt;=$C65,INDEX($D43:I43,1,MATCH(I$63-$C65+1,$D$41:I$41)),0)</f>
        <v>0</v>
      </c>
      <c r="J65" s="26">
        <f>IF(J$63&gt;=$C65,INDEX($D43:J43,1,MATCH(J$63-$C65+1,$D$41:J$41)),0)</f>
        <v>0</v>
      </c>
      <c r="K65" s="26">
        <f>IF(K$63&gt;=$C65,INDEX($D43:K43,1,MATCH(K$63-$C65+1,$D$41:K$41)),0)</f>
        <v>2</v>
      </c>
      <c r="L65" s="26">
        <f>IF(L$63&gt;=$C65,INDEX($D43:L43,1,MATCH(L$63-$C65+1,$D$41:L$41)),0)</f>
        <v>0</v>
      </c>
      <c r="M65" s="26">
        <f>IF(M$63&gt;=$C65,INDEX($D43:M43,1,MATCH(M$63-$C65+1,$D$41:M$41)),0)</f>
        <v>0</v>
      </c>
      <c r="N65" s="26">
        <f>IF(N$63&gt;=$C65,INDEX($D43:N43,1,MATCH(N$63-$C65+1,$D$41:N$41)),0)</f>
        <v>0</v>
      </c>
      <c r="O65" s="26">
        <f>IF(O$63&gt;=$C65,INDEX($D43:O43,1,MATCH(O$63-$C65+1,$D$41:O$41)),0)</f>
        <v>0</v>
      </c>
      <c r="P65" s="26">
        <f>IF(P$63&gt;=$C65,INDEX($D43:P43,1,MATCH(P$63-$C65+1,$D$41:P$41)),0)</f>
        <v>0</v>
      </c>
      <c r="Q65" s="26">
        <f>IF(Q$63&gt;=$C65,INDEX($D43:Q43,1,MATCH(Q$63-$C65+1,$D$41:Q$41)),0)</f>
        <v>0</v>
      </c>
      <c r="R65" s="26">
        <f>IF(R$63&gt;=$C65,INDEX($D43:R43,1,MATCH(R$63-$C65+1,$D$41:R$41)),0)</f>
        <v>0</v>
      </c>
      <c r="S65" s="26">
        <f>IF(S$63&gt;=$C65,INDEX($D43:S43,1,MATCH(S$63-$C65+1,$D$41:S$41)),0)</f>
        <v>2</v>
      </c>
      <c r="T65" s="26">
        <f>IF(T$63&gt;=$C65,INDEX($D43:T43,1,MATCH(T$63-$C65+1,$D$41:T$41)),0)</f>
        <v>0</v>
      </c>
      <c r="U65" s="26">
        <f>IF(U$63&gt;=$C65,INDEX($D43:U43,1,MATCH(U$63-$C65+1,$D$41:U$41)),0)</f>
        <v>0</v>
      </c>
      <c r="V65" s="26">
        <f>IF(V$63&gt;=$C65,INDEX($D43:V43,1,MATCH(V$63-$C65+1,$D$41:V$41)),0)</f>
        <v>0</v>
      </c>
      <c r="W65" s="26">
        <f>IF(W$63&gt;=$C65,INDEX($D43:W43,1,MATCH(W$63-$C65+1,$D$41:W$41)),0)</f>
        <v>0</v>
      </c>
      <c r="Z65" s="26">
        <v>0</v>
      </c>
      <c r="AA65" s="26">
        <f>IF(AA$63&gt;=$C65,INDEX($Z43:AA43,1,MATCH(AA$63-$C65+1,$Z$41:AA$41)),0)</f>
        <v>0</v>
      </c>
      <c r="AB65" s="26">
        <f>IF(AB$63&gt;=$C65,INDEX($Z43:AB43,1,MATCH(AB$63-$C65+1,$Z$41:AB$41)),0)</f>
        <v>0</v>
      </c>
      <c r="AC65" s="26">
        <f>IF(AC$63&gt;=$C65,INDEX($Z43:AC43,1,MATCH(AC$63-$C65+1,$Z$41:AC$41)),0)</f>
        <v>0</v>
      </c>
      <c r="AD65" s="26">
        <f>IF(AD$63&gt;=$C65,INDEX($Z43:AD43,1,MATCH(AD$63-$C65+1,$Z$41:AD$41)),0)</f>
        <v>0</v>
      </c>
      <c r="AE65" s="26">
        <f>IF(AE$63&gt;=$C65,INDEX($Z43:AE43,1,MATCH(AE$63-$C65+1,$Z$41:AE$41)),0)</f>
        <v>0</v>
      </c>
      <c r="AF65" s="26">
        <f>IF(AF$63&gt;=$C65,INDEX($Z43:AF43,1,MATCH(AF$63-$C65+1,$Z$41:AF$41)),0)</f>
        <v>0</v>
      </c>
      <c r="AG65" s="26">
        <f>IF(AG$63&gt;=$C65,INDEX($Z43:AG43,1,MATCH(AG$63-$C65+1,$Z$41:AG$41)),0)</f>
        <v>2</v>
      </c>
      <c r="AH65" s="26">
        <f>IF(AH$63&gt;=$C65,INDEX($Z43:AH43,1,MATCH(AH$63-$C65+1,$Z$41:AH$41)),0)</f>
        <v>0</v>
      </c>
      <c r="AI65" s="26">
        <f>IF(AI$63&gt;=$C65,INDEX($Z43:AI43,1,MATCH(AI$63-$C65+1,$Z$41:AI$41)),0)</f>
        <v>0</v>
      </c>
      <c r="AJ65" s="26">
        <f>IF(AJ$63&gt;=$C65,INDEX($Z43:AJ43,1,MATCH(AJ$63-$C65+1,$Z$41:AJ$41)),0)</f>
        <v>0</v>
      </c>
      <c r="AK65" s="26">
        <f>IF(AK$63&gt;=$C65,INDEX($Z43:AK43,1,MATCH(AK$63-$C65+1,$Z$41:AK$41)),0)</f>
        <v>0</v>
      </c>
      <c r="AL65" s="26">
        <f>IF(AL$63&gt;=$C65,INDEX($Z43:AL43,1,MATCH(AL$63-$C65+1,$Z$41:AL$41)),0)</f>
        <v>0</v>
      </c>
      <c r="AM65" s="26">
        <f>IF(AM$63&gt;=$C65,INDEX($Z43:AM43,1,MATCH(AM$63-$C65+1,$Z$41:AM$41)),0)</f>
        <v>0</v>
      </c>
      <c r="AN65" s="26">
        <f>IF(AN$63&gt;=$C65,INDEX($Z43:AN43,1,MATCH(AN$63-$C65+1,$Z$41:AN$41)),0)</f>
        <v>0</v>
      </c>
      <c r="AO65" s="26">
        <f>IF(AO$63&gt;=$C65,INDEX($Z43:AO43,1,MATCH(AO$63-$C65+1,$Z$41:AO$41)),0)</f>
        <v>2</v>
      </c>
      <c r="AP65" s="26">
        <f>IF(AP$63&gt;=$C65,INDEX($Z43:AP43,1,MATCH(AP$63-$C65+1,$Z$41:AP$41)),0)</f>
        <v>0</v>
      </c>
      <c r="AQ65" s="26">
        <f>IF(AQ$63&gt;=$C65,INDEX($Z43:AQ43,1,MATCH(AQ$63-$C65+1,$Z$41:AQ$41)),0)</f>
        <v>0</v>
      </c>
      <c r="AR65" s="26">
        <f>IF(AR$63&gt;=$C65,INDEX($Z43:AR43,1,MATCH(AR$63-$C65+1,$Z$41:AR$41)),0)</f>
        <v>0</v>
      </c>
      <c r="AS65" s="26">
        <f>IF(AS$63&gt;=$C65,INDEX($Z43:AS43,1,MATCH(AS$63-$C65+1,$Z$41:AS$41)),0)</f>
        <v>0</v>
      </c>
    </row>
    <row r="66" spans="1:49" x14ac:dyDescent="0.35">
      <c r="A66" s="7" t="str">
        <v>Application server software</v>
      </c>
      <c r="C66" s="9">
        <v>8</v>
      </c>
      <c r="D66" s="73">
        <v>0</v>
      </c>
      <c r="E66" s="26">
        <f>IF(E$63&gt;=$C66,INDEX($D44:E44,1,MATCH(E$63-$C66+1,$D$41:E$41)),0)</f>
        <v>0</v>
      </c>
      <c r="F66" s="26">
        <f>IF(F$63&gt;=$C66,INDEX($D44:F44,1,MATCH(F$63-$C66+1,$D$41:F$41)),0)</f>
        <v>0</v>
      </c>
      <c r="G66" s="26">
        <f>IF(G$63&gt;=$C66,INDEX($D44:G44,1,MATCH(G$63-$C66+1,$D$41:G$41)),0)</f>
        <v>0</v>
      </c>
      <c r="H66" s="26">
        <f>IF(H$63&gt;=$C66,INDEX($D44:H44,1,MATCH(H$63-$C66+1,$D$41:H$41)),0)</f>
        <v>0</v>
      </c>
      <c r="I66" s="26">
        <f>IF(I$63&gt;=$C66,INDEX($D44:I44,1,MATCH(I$63-$C66+1,$D$41:I$41)),0)</f>
        <v>0</v>
      </c>
      <c r="J66" s="26">
        <f>IF(J$63&gt;=$C66,INDEX($D44:J44,1,MATCH(J$63-$C66+1,$D$41:J$41)),0)</f>
        <v>0</v>
      </c>
      <c r="K66" s="26">
        <f>IF(K$63&gt;=$C66,INDEX($D44:K44,1,MATCH(K$63-$C66+1,$D$41:K$41)),0)</f>
        <v>2</v>
      </c>
      <c r="L66" s="26">
        <f>IF(L$63&gt;=$C66,INDEX($D44:L44,1,MATCH(L$63-$C66+1,$D$41:L$41)),0)</f>
        <v>0</v>
      </c>
      <c r="M66" s="26">
        <f>IF(M$63&gt;=$C66,INDEX($D44:M44,1,MATCH(M$63-$C66+1,$D$41:M$41)),0)</f>
        <v>0</v>
      </c>
      <c r="N66" s="26">
        <f>IF(N$63&gt;=$C66,INDEX($D44:N44,1,MATCH(N$63-$C66+1,$D$41:N$41)),0)</f>
        <v>0</v>
      </c>
      <c r="O66" s="26">
        <f>IF(O$63&gt;=$C66,INDEX($D44:O44,1,MATCH(O$63-$C66+1,$D$41:O$41)),0)</f>
        <v>0</v>
      </c>
      <c r="P66" s="26">
        <f>IF(P$63&gt;=$C66,INDEX($D44:P44,1,MATCH(P$63-$C66+1,$D$41:P$41)),0)</f>
        <v>0</v>
      </c>
      <c r="Q66" s="26">
        <f>IF(Q$63&gt;=$C66,INDEX($D44:Q44,1,MATCH(Q$63-$C66+1,$D$41:Q$41)),0)</f>
        <v>0</v>
      </c>
      <c r="R66" s="26">
        <f>IF(R$63&gt;=$C66,INDEX($D44:R44,1,MATCH(R$63-$C66+1,$D$41:R$41)),0)</f>
        <v>0</v>
      </c>
      <c r="S66" s="26">
        <f>IF(S$63&gt;=$C66,INDEX($D44:S44,1,MATCH(S$63-$C66+1,$D$41:S$41)),0)</f>
        <v>2</v>
      </c>
      <c r="T66" s="26">
        <f>IF(T$63&gt;=$C66,INDEX($D44:T44,1,MATCH(T$63-$C66+1,$D$41:T$41)),0)</f>
        <v>0</v>
      </c>
      <c r="U66" s="26">
        <f>IF(U$63&gt;=$C66,INDEX($D44:U44,1,MATCH(U$63-$C66+1,$D$41:U$41)),0)</f>
        <v>0</v>
      </c>
      <c r="V66" s="26">
        <f>IF(V$63&gt;=$C66,INDEX($D44:V44,1,MATCH(V$63-$C66+1,$D$41:V$41)),0)</f>
        <v>0</v>
      </c>
      <c r="W66" s="26">
        <f>IF(W$63&gt;=$C66,INDEX($D44:W44,1,MATCH(W$63-$C66+1,$D$41:W$41)),0)</f>
        <v>0</v>
      </c>
      <c r="Z66" s="26">
        <v>0</v>
      </c>
      <c r="AA66" s="26">
        <f>IF(AA$63&gt;=$C66,INDEX($Z44:AA44,1,MATCH(AA$63-$C66+1,$Z$41:AA$41)),0)</f>
        <v>0</v>
      </c>
      <c r="AB66" s="26">
        <f>IF(AB$63&gt;=$C66,INDEX($Z44:AB44,1,MATCH(AB$63-$C66+1,$Z$41:AB$41)),0)</f>
        <v>0</v>
      </c>
      <c r="AC66" s="26">
        <f>IF(AC$63&gt;=$C66,INDEX($Z44:AC44,1,MATCH(AC$63-$C66+1,$Z$41:AC$41)),0)</f>
        <v>0</v>
      </c>
      <c r="AD66" s="26">
        <f>IF(AD$63&gt;=$C66,INDEX($Z44:AD44,1,MATCH(AD$63-$C66+1,$Z$41:AD$41)),0)</f>
        <v>0</v>
      </c>
      <c r="AE66" s="26">
        <f>IF(AE$63&gt;=$C66,INDEX($Z44:AE44,1,MATCH(AE$63-$C66+1,$Z$41:AE$41)),0)</f>
        <v>0</v>
      </c>
      <c r="AF66" s="26">
        <f>IF(AF$63&gt;=$C66,INDEX($Z44:AF44,1,MATCH(AF$63-$C66+1,$Z$41:AF$41)),0)</f>
        <v>0</v>
      </c>
      <c r="AG66" s="26">
        <f>IF(AG$63&gt;=$C66,INDEX($Z44:AG44,1,MATCH(AG$63-$C66+1,$Z$41:AG$41)),0)</f>
        <v>2</v>
      </c>
      <c r="AH66" s="26">
        <f>IF(AH$63&gt;=$C66,INDEX($Z44:AH44,1,MATCH(AH$63-$C66+1,$Z$41:AH$41)),0)</f>
        <v>0</v>
      </c>
      <c r="AI66" s="26">
        <f>IF(AI$63&gt;=$C66,INDEX($Z44:AI44,1,MATCH(AI$63-$C66+1,$Z$41:AI$41)),0)</f>
        <v>0</v>
      </c>
      <c r="AJ66" s="26">
        <f>IF(AJ$63&gt;=$C66,INDEX($Z44:AJ44,1,MATCH(AJ$63-$C66+1,$Z$41:AJ$41)),0)</f>
        <v>0</v>
      </c>
      <c r="AK66" s="26">
        <f>IF(AK$63&gt;=$C66,INDEX($Z44:AK44,1,MATCH(AK$63-$C66+1,$Z$41:AK$41)),0)</f>
        <v>0</v>
      </c>
      <c r="AL66" s="26">
        <f>IF(AL$63&gt;=$C66,INDEX($Z44:AL44,1,MATCH(AL$63-$C66+1,$Z$41:AL$41)),0)</f>
        <v>0</v>
      </c>
      <c r="AM66" s="26">
        <f>IF(AM$63&gt;=$C66,INDEX($Z44:AM44,1,MATCH(AM$63-$C66+1,$Z$41:AM$41)),0)</f>
        <v>0</v>
      </c>
      <c r="AN66" s="26">
        <f>IF(AN$63&gt;=$C66,INDEX($Z44:AN44,1,MATCH(AN$63-$C66+1,$Z$41:AN$41)),0)</f>
        <v>0</v>
      </c>
      <c r="AO66" s="26">
        <f>IF(AO$63&gt;=$C66,INDEX($Z44:AO44,1,MATCH(AO$63-$C66+1,$Z$41:AO$41)),0)</f>
        <v>2</v>
      </c>
      <c r="AP66" s="26">
        <f>IF(AP$63&gt;=$C66,INDEX($Z44:AP44,1,MATCH(AP$63-$C66+1,$Z$41:AP$41)),0)</f>
        <v>0</v>
      </c>
      <c r="AQ66" s="26">
        <f>IF(AQ$63&gt;=$C66,INDEX($Z44:AQ44,1,MATCH(AQ$63-$C66+1,$Z$41:AQ$41)),0)</f>
        <v>0</v>
      </c>
      <c r="AR66" s="26">
        <f>IF(AR$63&gt;=$C66,INDEX($Z44:AR44,1,MATCH(AR$63-$C66+1,$Z$41:AR$41)),0)</f>
        <v>0</v>
      </c>
      <c r="AS66" s="26">
        <f>IF(AS$63&gt;=$C66,INDEX($Z44:AS44,1,MATCH(AS$63-$C66+1,$Z$41:AS$41)),0)</f>
        <v>0</v>
      </c>
    </row>
    <row r="67" spans="1:49" x14ac:dyDescent="0.35">
      <c r="A67" s="7" t="str">
        <v>Charging data function hardware</v>
      </c>
      <c r="C67" s="9">
        <v>8</v>
      </c>
      <c r="D67" s="73">
        <v>0</v>
      </c>
      <c r="E67" s="26">
        <f>IF(E$63&gt;=$C67,INDEX($D45:E45,1,MATCH(E$63-$C67+1,$D$41:E$41)),0)</f>
        <v>0</v>
      </c>
      <c r="F67" s="26">
        <f>IF(F$63&gt;=$C67,INDEX($D45:F45,1,MATCH(F$63-$C67+1,$D$41:F$41)),0)</f>
        <v>0</v>
      </c>
      <c r="G67" s="26">
        <f>IF(G$63&gt;=$C67,INDEX($D45:G45,1,MATCH(G$63-$C67+1,$D$41:G$41)),0)</f>
        <v>0</v>
      </c>
      <c r="H67" s="26">
        <f>IF(H$63&gt;=$C67,INDEX($D45:H45,1,MATCH(H$63-$C67+1,$D$41:H$41)),0)</f>
        <v>0</v>
      </c>
      <c r="I67" s="26">
        <f>IF(I$63&gt;=$C67,INDEX($D45:I45,1,MATCH(I$63-$C67+1,$D$41:I$41)),0)</f>
        <v>0</v>
      </c>
      <c r="J67" s="26">
        <f>IF(J$63&gt;=$C67,INDEX($D45:J45,1,MATCH(J$63-$C67+1,$D$41:J$41)),0)</f>
        <v>0</v>
      </c>
      <c r="K67" s="26">
        <f>IF(K$63&gt;=$C67,INDEX($D45:K45,1,MATCH(K$63-$C67+1,$D$41:K$41)),0)</f>
        <v>2</v>
      </c>
      <c r="L67" s="26">
        <f>IF(L$63&gt;=$C67,INDEX($D45:L45,1,MATCH(L$63-$C67+1,$D$41:L$41)),0)</f>
        <v>0</v>
      </c>
      <c r="M67" s="26">
        <f>IF(M$63&gt;=$C67,INDEX($D45:M45,1,MATCH(M$63-$C67+1,$D$41:M$41)),0)</f>
        <v>0</v>
      </c>
      <c r="N67" s="26">
        <f>IF(N$63&gt;=$C67,INDEX($D45:N45,1,MATCH(N$63-$C67+1,$D$41:N$41)),0)</f>
        <v>0</v>
      </c>
      <c r="O67" s="26">
        <f>IF(O$63&gt;=$C67,INDEX($D45:O45,1,MATCH(O$63-$C67+1,$D$41:O$41)),0)</f>
        <v>0</v>
      </c>
      <c r="P67" s="26">
        <f>IF(P$63&gt;=$C67,INDEX($D45:P45,1,MATCH(P$63-$C67+1,$D$41:P$41)),0)</f>
        <v>0</v>
      </c>
      <c r="Q67" s="26">
        <f>IF(Q$63&gt;=$C67,INDEX($D45:Q45,1,MATCH(Q$63-$C67+1,$D$41:Q$41)),0)</f>
        <v>0</v>
      </c>
      <c r="R67" s="26">
        <f>IF(R$63&gt;=$C67,INDEX($D45:R45,1,MATCH(R$63-$C67+1,$D$41:R$41)),0)</f>
        <v>0</v>
      </c>
      <c r="S67" s="26">
        <f>IF(S$63&gt;=$C67,INDEX($D45:S45,1,MATCH(S$63-$C67+1,$D$41:S$41)),0)</f>
        <v>2</v>
      </c>
      <c r="T67" s="26">
        <f>IF(T$63&gt;=$C67,INDEX($D45:T45,1,MATCH(T$63-$C67+1,$D$41:T$41)),0)</f>
        <v>0</v>
      </c>
      <c r="U67" s="26">
        <f>IF(U$63&gt;=$C67,INDEX($D45:U45,1,MATCH(U$63-$C67+1,$D$41:U$41)),0)</f>
        <v>0</v>
      </c>
      <c r="V67" s="26">
        <f>IF(V$63&gt;=$C67,INDEX($D45:V45,1,MATCH(V$63-$C67+1,$D$41:V$41)),0)</f>
        <v>0</v>
      </c>
      <c r="W67" s="26">
        <f>IF(W$63&gt;=$C67,INDEX($D45:W45,1,MATCH(W$63-$C67+1,$D$41:W$41)),0)</f>
        <v>0</v>
      </c>
      <c r="Z67" s="26">
        <v>0</v>
      </c>
      <c r="AA67" s="26">
        <f>IF(AA$63&gt;=$C67,INDEX($Z45:AA45,1,MATCH(AA$63-$C67+1,$Z$41:AA$41)),0)</f>
        <v>0</v>
      </c>
      <c r="AB67" s="26">
        <f>IF(AB$63&gt;=$C67,INDEX($Z45:AB45,1,MATCH(AB$63-$C67+1,$Z$41:AB$41)),0)</f>
        <v>0</v>
      </c>
      <c r="AC67" s="26">
        <f>IF(AC$63&gt;=$C67,INDEX($Z45:AC45,1,MATCH(AC$63-$C67+1,$Z$41:AC$41)),0)</f>
        <v>0</v>
      </c>
      <c r="AD67" s="26">
        <f>IF(AD$63&gt;=$C67,INDEX($Z45:AD45,1,MATCH(AD$63-$C67+1,$Z$41:AD$41)),0)</f>
        <v>0</v>
      </c>
      <c r="AE67" s="26">
        <f>IF(AE$63&gt;=$C67,INDEX($Z45:AE45,1,MATCH(AE$63-$C67+1,$Z$41:AE$41)),0)</f>
        <v>0</v>
      </c>
      <c r="AF67" s="26">
        <f>IF(AF$63&gt;=$C67,INDEX($Z45:AF45,1,MATCH(AF$63-$C67+1,$Z$41:AF$41)),0)</f>
        <v>0</v>
      </c>
      <c r="AG67" s="26">
        <f>IF(AG$63&gt;=$C67,INDEX($Z45:AG45,1,MATCH(AG$63-$C67+1,$Z$41:AG$41)),0)</f>
        <v>2</v>
      </c>
      <c r="AH67" s="26">
        <f>IF(AH$63&gt;=$C67,INDEX($Z45:AH45,1,MATCH(AH$63-$C67+1,$Z$41:AH$41)),0)</f>
        <v>0</v>
      </c>
      <c r="AI67" s="26">
        <f>IF(AI$63&gt;=$C67,INDEX($Z45:AI45,1,MATCH(AI$63-$C67+1,$Z$41:AI$41)),0)</f>
        <v>0</v>
      </c>
      <c r="AJ67" s="26">
        <f>IF(AJ$63&gt;=$C67,INDEX($Z45:AJ45,1,MATCH(AJ$63-$C67+1,$Z$41:AJ$41)),0)</f>
        <v>0</v>
      </c>
      <c r="AK67" s="26">
        <f>IF(AK$63&gt;=$C67,INDEX($Z45:AK45,1,MATCH(AK$63-$C67+1,$Z$41:AK$41)),0)</f>
        <v>0</v>
      </c>
      <c r="AL67" s="26">
        <f>IF(AL$63&gt;=$C67,INDEX($Z45:AL45,1,MATCH(AL$63-$C67+1,$Z$41:AL$41)),0)</f>
        <v>0</v>
      </c>
      <c r="AM67" s="26">
        <f>IF(AM$63&gt;=$C67,INDEX($Z45:AM45,1,MATCH(AM$63-$C67+1,$Z$41:AM$41)),0)</f>
        <v>0</v>
      </c>
      <c r="AN67" s="26">
        <f>IF(AN$63&gt;=$C67,INDEX($Z45:AN45,1,MATCH(AN$63-$C67+1,$Z$41:AN$41)),0)</f>
        <v>0</v>
      </c>
      <c r="AO67" s="26">
        <f>IF(AO$63&gt;=$C67,INDEX($Z45:AO45,1,MATCH(AO$63-$C67+1,$Z$41:AO$41)),0)</f>
        <v>2</v>
      </c>
      <c r="AP67" s="26">
        <f>IF(AP$63&gt;=$C67,INDEX($Z45:AP45,1,MATCH(AP$63-$C67+1,$Z$41:AP$41)),0)</f>
        <v>0</v>
      </c>
      <c r="AQ67" s="26">
        <f>IF(AQ$63&gt;=$C67,INDEX($Z45:AQ45,1,MATCH(AQ$63-$C67+1,$Z$41:AQ$41)),0)</f>
        <v>0</v>
      </c>
      <c r="AR67" s="26">
        <f>IF(AR$63&gt;=$C67,INDEX($Z45:AR45,1,MATCH(AR$63-$C67+1,$Z$41:AR$41)),0)</f>
        <v>0</v>
      </c>
      <c r="AS67" s="26">
        <f>IF(AS$63&gt;=$C67,INDEX($Z45:AS45,1,MATCH(AS$63-$C67+1,$Z$41:AS$41)),0)</f>
        <v>0</v>
      </c>
    </row>
    <row r="68" spans="1:49" x14ac:dyDescent="0.35">
      <c r="A68" s="7" t="str">
        <v>Charging data function software</v>
      </c>
      <c r="C68" s="9">
        <v>8</v>
      </c>
      <c r="D68" s="73">
        <v>0</v>
      </c>
      <c r="E68" s="26">
        <f>IF(E$63&gt;=$C68,INDEX($D46:E46,1,MATCH(E$63-$C68+1,$D$41:E$41)),0)</f>
        <v>0</v>
      </c>
      <c r="F68" s="26">
        <f>IF(F$63&gt;=$C68,INDEX($D46:F46,1,MATCH(F$63-$C68+1,$D$41:F$41)),0)</f>
        <v>0</v>
      </c>
      <c r="G68" s="26">
        <f>IF(G$63&gt;=$C68,INDEX($D46:G46,1,MATCH(G$63-$C68+1,$D$41:G$41)),0)</f>
        <v>0</v>
      </c>
      <c r="H68" s="26">
        <f>IF(H$63&gt;=$C68,INDEX($D46:H46,1,MATCH(H$63-$C68+1,$D$41:H$41)),0)</f>
        <v>0</v>
      </c>
      <c r="I68" s="26">
        <f>IF(I$63&gt;=$C68,INDEX($D46:I46,1,MATCH(I$63-$C68+1,$D$41:I$41)),0)</f>
        <v>0</v>
      </c>
      <c r="J68" s="26">
        <f>IF(J$63&gt;=$C68,INDEX($D46:J46,1,MATCH(J$63-$C68+1,$D$41:J$41)),0)</f>
        <v>0</v>
      </c>
      <c r="K68" s="26">
        <f>IF(K$63&gt;=$C68,INDEX($D46:K46,1,MATCH(K$63-$C68+1,$D$41:K$41)),0)</f>
        <v>168</v>
      </c>
      <c r="L68" s="26">
        <f>IF(L$63&gt;=$C68,INDEX($D46:L46,1,MATCH(L$63-$C68+1,$D$41:L$41)),0)</f>
        <v>0</v>
      </c>
      <c r="M68" s="26">
        <f>IF(M$63&gt;=$C68,INDEX($D46:M46,1,MATCH(M$63-$C68+1,$D$41:M$41)),0)</f>
        <v>0</v>
      </c>
      <c r="N68" s="26">
        <f>IF(N$63&gt;=$C68,INDEX($D46:N46,1,MATCH(N$63-$C68+1,$D$41:N$41)),0)</f>
        <v>0</v>
      </c>
      <c r="O68" s="26">
        <f>IF(O$63&gt;=$C68,INDEX($D46:O46,1,MATCH(O$63-$C68+1,$D$41:O$41)),0)</f>
        <v>0</v>
      </c>
      <c r="P68" s="26">
        <f>IF(P$63&gt;=$C68,INDEX($D46:P46,1,MATCH(P$63-$C68+1,$D$41:P$41)),0)</f>
        <v>0</v>
      </c>
      <c r="Q68" s="26">
        <f>IF(Q$63&gt;=$C68,INDEX($D46:Q46,1,MATCH(Q$63-$C68+1,$D$41:Q$41)),0)</f>
        <v>0</v>
      </c>
      <c r="R68" s="26">
        <f>IF(R$63&gt;=$C68,INDEX($D46:R46,1,MATCH(R$63-$C68+1,$D$41:R$41)),0)</f>
        <v>0</v>
      </c>
      <c r="S68" s="26">
        <f>IF(S$63&gt;=$C68,INDEX($D46:S46,1,MATCH(S$63-$C68+1,$D$41:S$41)),0)</f>
        <v>122</v>
      </c>
      <c r="T68" s="26">
        <f>IF(T$63&gt;=$C68,INDEX($D46:T46,1,MATCH(T$63-$C68+1,$D$41:T$41)),0)</f>
        <v>0</v>
      </c>
      <c r="U68" s="26">
        <f>IF(U$63&gt;=$C68,INDEX($D46:U46,1,MATCH(U$63-$C68+1,$D$41:U$41)),0)</f>
        <v>0</v>
      </c>
      <c r="V68" s="26">
        <f>IF(V$63&gt;=$C68,INDEX($D46:V46,1,MATCH(V$63-$C68+1,$D$41:V$41)),0)</f>
        <v>0</v>
      </c>
      <c r="W68" s="26">
        <f>IF(W$63&gt;=$C68,INDEX($D46:W46,1,MATCH(W$63-$C68+1,$D$41:W$41)),0)</f>
        <v>0</v>
      </c>
      <c r="Z68" s="26">
        <v>0</v>
      </c>
      <c r="AA68" s="26">
        <f>IF(AA$63&gt;=$C68,INDEX($Z46:AA46,1,MATCH(AA$63-$C68+1,$Z$41:AA$41)),0)</f>
        <v>0</v>
      </c>
      <c r="AB68" s="26">
        <f>IF(AB$63&gt;=$C68,INDEX($Z46:AB46,1,MATCH(AB$63-$C68+1,$Z$41:AB$41)),0)</f>
        <v>0</v>
      </c>
      <c r="AC68" s="26">
        <f>IF(AC$63&gt;=$C68,INDEX($Z46:AC46,1,MATCH(AC$63-$C68+1,$Z$41:AC$41)),0)</f>
        <v>0</v>
      </c>
      <c r="AD68" s="26">
        <f>IF(AD$63&gt;=$C68,INDEX($Z46:AD46,1,MATCH(AD$63-$C68+1,$Z$41:AD$41)),0)</f>
        <v>0</v>
      </c>
      <c r="AE68" s="26">
        <f>IF(AE$63&gt;=$C68,INDEX($Z46:AE46,1,MATCH(AE$63-$C68+1,$Z$41:AE$41)),0)</f>
        <v>0</v>
      </c>
      <c r="AF68" s="26">
        <f>IF(AF$63&gt;=$C68,INDEX($Z46:AF46,1,MATCH(AF$63-$C68+1,$Z$41:AF$41)),0)</f>
        <v>0</v>
      </c>
      <c r="AG68" s="26">
        <f>IF(AG$63&gt;=$C68,INDEX($Z46:AG46,1,MATCH(AG$63-$C68+1,$Z$41:AG$41)),0)</f>
        <v>124</v>
      </c>
      <c r="AH68" s="26">
        <f>IF(AH$63&gt;=$C68,INDEX($Z46:AH46,1,MATCH(AH$63-$C68+1,$Z$41:AH$41)),0)</f>
        <v>0</v>
      </c>
      <c r="AI68" s="26">
        <f>IF(AI$63&gt;=$C68,INDEX($Z46:AI46,1,MATCH(AI$63-$C68+1,$Z$41:AI$41)),0)</f>
        <v>0</v>
      </c>
      <c r="AJ68" s="26">
        <f>IF(AJ$63&gt;=$C68,INDEX($Z46:AJ46,1,MATCH(AJ$63-$C68+1,$Z$41:AJ$41)),0)</f>
        <v>0</v>
      </c>
      <c r="AK68" s="26">
        <f>IF(AK$63&gt;=$C68,INDEX($Z46:AK46,1,MATCH(AK$63-$C68+1,$Z$41:AK$41)),0)</f>
        <v>0</v>
      </c>
      <c r="AL68" s="26">
        <f>IF(AL$63&gt;=$C68,INDEX($Z46:AL46,1,MATCH(AL$63-$C68+1,$Z$41:AL$41)),0)</f>
        <v>0</v>
      </c>
      <c r="AM68" s="26">
        <f>IF(AM$63&gt;=$C68,INDEX($Z46:AM46,1,MATCH(AM$63-$C68+1,$Z$41:AM$41)),0)</f>
        <v>0</v>
      </c>
      <c r="AN68" s="26">
        <f>IF(AN$63&gt;=$C68,INDEX($Z46:AN46,1,MATCH(AN$63-$C68+1,$Z$41:AN$41)),0)</f>
        <v>0</v>
      </c>
      <c r="AO68" s="26">
        <f>IF(AO$63&gt;=$C68,INDEX($Z46:AO46,1,MATCH(AO$63-$C68+1,$Z$41:AO$41)),0)</f>
        <v>86</v>
      </c>
      <c r="AP68" s="26">
        <f>IF(AP$63&gt;=$C68,INDEX($Z46:AP46,1,MATCH(AP$63-$C68+1,$Z$41:AP$41)),0)</f>
        <v>0</v>
      </c>
      <c r="AQ68" s="26">
        <f>IF(AQ$63&gt;=$C68,INDEX($Z46:AQ46,1,MATCH(AQ$63-$C68+1,$Z$41:AQ$41)),0)</f>
        <v>0</v>
      </c>
      <c r="AR68" s="26">
        <f>IF(AR$63&gt;=$C68,INDEX($Z46:AR46,1,MATCH(AR$63-$C68+1,$Z$41:AR$41)),0)</f>
        <v>0</v>
      </c>
      <c r="AS68" s="26">
        <f>IF(AS$63&gt;=$C68,INDEX($Z46:AS46,1,MATCH(AS$63-$C68+1,$Z$41:AS$41)),0)</f>
        <v>0</v>
      </c>
    </row>
    <row r="69" spans="1:49" x14ac:dyDescent="0.35">
      <c r="A69" s="7" t="str">
        <v>Proxy - Call session control function hardware</v>
      </c>
      <c r="C69" s="9">
        <v>8</v>
      </c>
      <c r="D69" s="73">
        <v>0</v>
      </c>
      <c r="E69" s="26">
        <f>IF(E$63&gt;=$C69,INDEX($D47:E47,1,MATCH(E$63-$C69+1,$D$41:E$41)),0)</f>
        <v>0</v>
      </c>
      <c r="F69" s="26">
        <f>IF(F$63&gt;=$C69,INDEX($D47:F47,1,MATCH(F$63-$C69+1,$D$41:F$41)),0)</f>
        <v>0</v>
      </c>
      <c r="G69" s="26">
        <f>IF(G$63&gt;=$C69,INDEX($D47:G47,1,MATCH(G$63-$C69+1,$D$41:G$41)),0)</f>
        <v>0</v>
      </c>
      <c r="H69" s="26">
        <f>IF(H$63&gt;=$C69,INDEX($D47:H47,1,MATCH(H$63-$C69+1,$D$41:H$41)),0)</f>
        <v>0</v>
      </c>
      <c r="I69" s="26">
        <f>IF(I$63&gt;=$C69,INDEX($D47:I47,1,MATCH(I$63-$C69+1,$D$41:I$41)),0)</f>
        <v>0</v>
      </c>
      <c r="J69" s="26">
        <f>IF(J$63&gt;=$C69,INDEX($D47:J47,1,MATCH(J$63-$C69+1,$D$41:J$41)),0)</f>
        <v>0</v>
      </c>
      <c r="K69" s="26">
        <f>IF(K$63&gt;=$C69,INDEX($D47:K47,1,MATCH(K$63-$C69+1,$D$41:K$41)),0)</f>
        <v>2</v>
      </c>
      <c r="L69" s="26">
        <f>IF(L$63&gt;=$C69,INDEX($D47:L47,1,MATCH(L$63-$C69+1,$D$41:L$41)),0)</f>
        <v>0</v>
      </c>
      <c r="M69" s="26">
        <f>IF(M$63&gt;=$C69,INDEX($D47:M47,1,MATCH(M$63-$C69+1,$D$41:M$41)),0)</f>
        <v>0</v>
      </c>
      <c r="N69" s="26">
        <f>IF(N$63&gt;=$C69,INDEX($D47:N47,1,MATCH(N$63-$C69+1,$D$41:N$41)),0)</f>
        <v>0</v>
      </c>
      <c r="O69" s="26">
        <f>IF(O$63&gt;=$C69,INDEX($D47:O47,1,MATCH(O$63-$C69+1,$D$41:O$41)),0)</f>
        <v>0</v>
      </c>
      <c r="P69" s="26">
        <f>IF(P$63&gt;=$C69,INDEX($D47:P47,1,MATCH(P$63-$C69+1,$D$41:P$41)),0)</f>
        <v>0</v>
      </c>
      <c r="Q69" s="26">
        <f>IF(Q$63&gt;=$C69,INDEX($D47:Q47,1,MATCH(Q$63-$C69+1,$D$41:Q$41)),0)</f>
        <v>0</v>
      </c>
      <c r="R69" s="26">
        <f>IF(R$63&gt;=$C69,INDEX($D47:R47,1,MATCH(R$63-$C69+1,$D$41:R$41)),0)</f>
        <v>0</v>
      </c>
      <c r="S69" s="26">
        <f>IF(S$63&gt;=$C69,INDEX($D47:S47,1,MATCH(S$63-$C69+1,$D$41:S$41)),0)</f>
        <v>2</v>
      </c>
      <c r="T69" s="26">
        <f>IF(T$63&gt;=$C69,INDEX($D47:T47,1,MATCH(T$63-$C69+1,$D$41:T$41)),0)</f>
        <v>0</v>
      </c>
      <c r="U69" s="26">
        <f>IF(U$63&gt;=$C69,INDEX($D47:U47,1,MATCH(U$63-$C69+1,$D$41:U$41)),0)</f>
        <v>0</v>
      </c>
      <c r="V69" s="26">
        <f>IF(V$63&gt;=$C69,INDEX($D47:V47,1,MATCH(V$63-$C69+1,$D$41:V$41)),0)</f>
        <v>0</v>
      </c>
      <c r="W69" s="26">
        <f>IF(W$63&gt;=$C69,INDEX($D47:W47,1,MATCH(W$63-$C69+1,$D$41:W$41)),0)</f>
        <v>0</v>
      </c>
      <c r="Z69" s="26">
        <v>0</v>
      </c>
      <c r="AA69" s="26">
        <f>IF(AA$63&gt;=$C69,INDEX($Z47:AA47,1,MATCH(AA$63-$C69+1,$Z$41:AA$41)),0)</f>
        <v>0</v>
      </c>
      <c r="AB69" s="26">
        <f>IF(AB$63&gt;=$C69,INDEX($Z47:AB47,1,MATCH(AB$63-$C69+1,$Z$41:AB$41)),0)</f>
        <v>0</v>
      </c>
      <c r="AC69" s="26">
        <f>IF(AC$63&gt;=$C69,INDEX($Z47:AC47,1,MATCH(AC$63-$C69+1,$Z$41:AC$41)),0)</f>
        <v>0</v>
      </c>
      <c r="AD69" s="26">
        <f>IF(AD$63&gt;=$C69,INDEX($Z47:AD47,1,MATCH(AD$63-$C69+1,$Z$41:AD$41)),0)</f>
        <v>0</v>
      </c>
      <c r="AE69" s="26">
        <f>IF(AE$63&gt;=$C69,INDEX($Z47:AE47,1,MATCH(AE$63-$C69+1,$Z$41:AE$41)),0)</f>
        <v>0</v>
      </c>
      <c r="AF69" s="26">
        <f>IF(AF$63&gt;=$C69,INDEX($Z47:AF47,1,MATCH(AF$63-$C69+1,$Z$41:AF$41)),0)</f>
        <v>0</v>
      </c>
      <c r="AG69" s="26">
        <f>IF(AG$63&gt;=$C69,INDEX($Z47:AG47,1,MATCH(AG$63-$C69+1,$Z$41:AG$41)),0)</f>
        <v>2</v>
      </c>
      <c r="AH69" s="26">
        <f>IF(AH$63&gt;=$C69,INDEX($Z47:AH47,1,MATCH(AH$63-$C69+1,$Z$41:AH$41)),0)</f>
        <v>0</v>
      </c>
      <c r="AI69" s="26">
        <f>IF(AI$63&gt;=$C69,INDEX($Z47:AI47,1,MATCH(AI$63-$C69+1,$Z$41:AI$41)),0)</f>
        <v>0</v>
      </c>
      <c r="AJ69" s="26">
        <f>IF(AJ$63&gt;=$C69,INDEX($Z47:AJ47,1,MATCH(AJ$63-$C69+1,$Z$41:AJ$41)),0)</f>
        <v>0</v>
      </c>
      <c r="AK69" s="26">
        <f>IF(AK$63&gt;=$C69,INDEX($Z47:AK47,1,MATCH(AK$63-$C69+1,$Z$41:AK$41)),0)</f>
        <v>0</v>
      </c>
      <c r="AL69" s="26">
        <f>IF(AL$63&gt;=$C69,INDEX($Z47:AL47,1,MATCH(AL$63-$C69+1,$Z$41:AL$41)),0)</f>
        <v>0</v>
      </c>
      <c r="AM69" s="26">
        <f>IF(AM$63&gt;=$C69,INDEX($Z47:AM47,1,MATCH(AM$63-$C69+1,$Z$41:AM$41)),0)</f>
        <v>0</v>
      </c>
      <c r="AN69" s="26">
        <f>IF(AN$63&gt;=$C69,INDEX($Z47:AN47,1,MATCH(AN$63-$C69+1,$Z$41:AN$41)),0)</f>
        <v>0</v>
      </c>
      <c r="AO69" s="26">
        <f>IF(AO$63&gt;=$C69,INDEX($Z47:AO47,1,MATCH(AO$63-$C69+1,$Z$41:AO$41)),0)</f>
        <v>2</v>
      </c>
      <c r="AP69" s="26">
        <f>IF(AP$63&gt;=$C69,INDEX($Z47:AP47,1,MATCH(AP$63-$C69+1,$Z$41:AP$41)),0)</f>
        <v>0</v>
      </c>
      <c r="AQ69" s="26">
        <f>IF(AQ$63&gt;=$C69,INDEX($Z47:AQ47,1,MATCH(AQ$63-$C69+1,$Z$41:AQ$41)),0)</f>
        <v>0</v>
      </c>
      <c r="AR69" s="26">
        <f>IF(AR$63&gt;=$C69,INDEX($Z47:AR47,1,MATCH(AR$63-$C69+1,$Z$41:AR$41)),0)</f>
        <v>0</v>
      </c>
      <c r="AS69" s="26">
        <f>IF(AS$63&gt;=$C69,INDEX($Z47:AS47,1,MATCH(AS$63-$C69+1,$Z$41:AS$41)),0)</f>
        <v>0</v>
      </c>
    </row>
    <row r="70" spans="1:49" x14ac:dyDescent="0.35">
      <c r="A70" s="7" t="str">
        <v>Proxy - Call session control function software</v>
      </c>
      <c r="C70" s="9">
        <v>8</v>
      </c>
      <c r="D70" s="73">
        <v>0</v>
      </c>
      <c r="E70" s="26">
        <f>IF(E$63&gt;=$C70,INDEX($D48:E48,1,MATCH(E$63-$C70+1,$D$41:E$41)),0)</f>
        <v>0</v>
      </c>
      <c r="F70" s="26">
        <f>IF(F$63&gt;=$C70,INDEX($D48:F48,1,MATCH(F$63-$C70+1,$D$41:F$41)),0)</f>
        <v>0</v>
      </c>
      <c r="G70" s="26">
        <f>IF(G$63&gt;=$C70,INDEX($D48:G48,1,MATCH(G$63-$C70+1,$D$41:G$41)),0)</f>
        <v>0</v>
      </c>
      <c r="H70" s="26">
        <f>IF(H$63&gt;=$C70,INDEX($D48:H48,1,MATCH(H$63-$C70+1,$D$41:H$41)),0)</f>
        <v>0</v>
      </c>
      <c r="I70" s="26">
        <f>IF(I$63&gt;=$C70,INDEX($D48:I48,1,MATCH(I$63-$C70+1,$D$41:I$41)),0)</f>
        <v>0</v>
      </c>
      <c r="J70" s="26">
        <f>IF(J$63&gt;=$C70,INDEX($D48:J48,1,MATCH(J$63-$C70+1,$D$41:J$41)),0)</f>
        <v>0</v>
      </c>
      <c r="K70" s="26">
        <f>IF(K$63&gt;=$C70,INDEX($D48:K48,1,MATCH(K$63-$C70+1,$D$41:K$41)),0)</f>
        <v>1714</v>
      </c>
      <c r="L70" s="26">
        <f>IF(L$63&gt;=$C70,INDEX($D48:L48,1,MATCH(L$63-$C70+1,$D$41:L$41)),0)</f>
        <v>0</v>
      </c>
      <c r="M70" s="26">
        <f>IF(M$63&gt;=$C70,INDEX($D48:M48,1,MATCH(M$63-$C70+1,$D$41:M$41)),0)</f>
        <v>0</v>
      </c>
      <c r="N70" s="26">
        <f>IF(N$63&gt;=$C70,INDEX($D48:N48,1,MATCH(N$63-$C70+1,$D$41:N$41)),0)</f>
        <v>0</v>
      </c>
      <c r="O70" s="26">
        <f>IF(O$63&gt;=$C70,INDEX($D48:O48,1,MATCH(O$63-$C70+1,$D$41:O$41)),0)</f>
        <v>0</v>
      </c>
      <c r="P70" s="26">
        <f>IF(P$63&gt;=$C70,INDEX($D48:P48,1,MATCH(P$63-$C70+1,$D$41:P$41)),0)</f>
        <v>0</v>
      </c>
      <c r="Q70" s="26">
        <f>IF(Q$63&gt;=$C70,INDEX($D48:Q48,1,MATCH(Q$63-$C70+1,$D$41:Q$41)),0)</f>
        <v>0</v>
      </c>
      <c r="R70" s="26">
        <f>IF(R$63&gt;=$C70,INDEX($D48:R48,1,MATCH(R$63-$C70+1,$D$41:R$41)),0)</f>
        <v>0</v>
      </c>
      <c r="S70" s="26">
        <f>IF(S$63&gt;=$C70,INDEX($D48:S48,1,MATCH(S$63-$C70+1,$D$41:S$41)),0)</f>
        <v>1250</v>
      </c>
      <c r="T70" s="26">
        <f>IF(T$63&gt;=$C70,INDEX($D48:T48,1,MATCH(T$63-$C70+1,$D$41:T$41)),0)</f>
        <v>0</v>
      </c>
      <c r="U70" s="26">
        <f>IF(U$63&gt;=$C70,INDEX($D48:U48,1,MATCH(U$63-$C70+1,$D$41:U$41)),0)</f>
        <v>0</v>
      </c>
      <c r="V70" s="26">
        <f>IF(V$63&gt;=$C70,INDEX($D48:V48,1,MATCH(V$63-$C70+1,$D$41:V$41)),0)</f>
        <v>0</v>
      </c>
      <c r="W70" s="26">
        <f>IF(W$63&gt;=$C70,INDEX($D48:W48,1,MATCH(W$63-$C70+1,$D$41:W$41)),0)</f>
        <v>0</v>
      </c>
      <c r="Z70" s="26">
        <v>0</v>
      </c>
      <c r="AA70" s="26">
        <f>IF(AA$63&gt;=$C70,INDEX($Z48:AA48,1,MATCH(AA$63-$C70+1,$Z$41:AA$41)),0)</f>
        <v>0</v>
      </c>
      <c r="AB70" s="26">
        <f>IF(AB$63&gt;=$C70,INDEX($Z48:AB48,1,MATCH(AB$63-$C70+1,$Z$41:AB$41)),0)</f>
        <v>0</v>
      </c>
      <c r="AC70" s="26">
        <f>IF(AC$63&gt;=$C70,INDEX($Z48:AC48,1,MATCH(AC$63-$C70+1,$Z$41:AC$41)),0)</f>
        <v>0</v>
      </c>
      <c r="AD70" s="26">
        <f>IF(AD$63&gt;=$C70,INDEX($Z48:AD48,1,MATCH(AD$63-$C70+1,$Z$41:AD$41)),0)</f>
        <v>0</v>
      </c>
      <c r="AE70" s="26">
        <f>IF(AE$63&gt;=$C70,INDEX($Z48:AE48,1,MATCH(AE$63-$C70+1,$Z$41:AE$41)),0)</f>
        <v>0</v>
      </c>
      <c r="AF70" s="26">
        <f>IF(AF$63&gt;=$C70,INDEX($Z48:AF48,1,MATCH(AF$63-$C70+1,$Z$41:AF$41)),0)</f>
        <v>0</v>
      </c>
      <c r="AG70" s="26">
        <f>IF(AG$63&gt;=$C70,INDEX($Z48:AG48,1,MATCH(AG$63-$C70+1,$Z$41:AG$41)),0)</f>
        <v>1266</v>
      </c>
      <c r="AH70" s="26">
        <f>IF(AH$63&gt;=$C70,INDEX($Z48:AH48,1,MATCH(AH$63-$C70+1,$Z$41:AH$41)),0)</f>
        <v>0</v>
      </c>
      <c r="AI70" s="26">
        <f>IF(AI$63&gt;=$C70,INDEX($Z48:AI48,1,MATCH(AI$63-$C70+1,$Z$41:AI$41)),0)</f>
        <v>0</v>
      </c>
      <c r="AJ70" s="26">
        <f>IF(AJ$63&gt;=$C70,INDEX($Z48:AJ48,1,MATCH(AJ$63-$C70+1,$Z$41:AJ$41)),0)</f>
        <v>0</v>
      </c>
      <c r="AK70" s="26">
        <f>IF(AK$63&gt;=$C70,INDEX($Z48:AK48,1,MATCH(AK$63-$C70+1,$Z$41:AK$41)),0)</f>
        <v>0</v>
      </c>
      <c r="AL70" s="26">
        <f>IF(AL$63&gt;=$C70,INDEX($Z48:AL48,1,MATCH(AL$63-$C70+1,$Z$41:AL$41)),0)</f>
        <v>0</v>
      </c>
      <c r="AM70" s="26">
        <f>IF(AM$63&gt;=$C70,INDEX($Z48:AM48,1,MATCH(AM$63-$C70+1,$Z$41:AM$41)),0)</f>
        <v>0</v>
      </c>
      <c r="AN70" s="26">
        <f>IF(AN$63&gt;=$C70,INDEX($Z48:AN48,1,MATCH(AN$63-$C70+1,$Z$41:AN$41)),0)</f>
        <v>0</v>
      </c>
      <c r="AO70" s="26">
        <f>IF(AO$63&gt;=$C70,INDEX($Z48:AO48,1,MATCH(AO$63-$C70+1,$Z$41:AO$41)),0)</f>
        <v>872</v>
      </c>
      <c r="AP70" s="26">
        <f>IF(AP$63&gt;=$C70,INDEX($Z48:AP48,1,MATCH(AP$63-$C70+1,$Z$41:AP$41)),0)</f>
        <v>0</v>
      </c>
      <c r="AQ70" s="26">
        <f>IF(AQ$63&gt;=$C70,INDEX($Z48:AQ48,1,MATCH(AQ$63-$C70+1,$Z$41:AQ$41)),0)</f>
        <v>0</v>
      </c>
      <c r="AR70" s="26">
        <f>IF(AR$63&gt;=$C70,INDEX($Z48:AR48,1,MATCH(AR$63-$C70+1,$Z$41:AR$41)),0)</f>
        <v>0</v>
      </c>
      <c r="AS70" s="26">
        <f>IF(AS$63&gt;=$C70,INDEX($Z48:AS48,1,MATCH(AS$63-$C70+1,$Z$41:AS$41)),0)</f>
        <v>0</v>
      </c>
    </row>
    <row r="71" spans="1:49" x14ac:dyDescent="0.35">
      <c r="A71" s="7" t="str">
        <v>Interrogating - Call session control function hardware</v>
      </c>
      <c r="C71" s="9">
        <v>8</v>
      </c>
      <c r="D71" s="73">
        <v>0</v>
      </c>
      <c r="E71" s="26">
        <f>IF(E$63&gt;=$C71,INDEX($D49:E49,1,MATCH(E$63-$C71+1,$D$41:E$41)),0)</f>
        <v>0</v>
      </c>
      <c r="F71" s="26">
        <f>IF(F$63&gt;=$C71,INDEX($D49:F49,1,MATCH(F$63-$C71+1,$D$41:F$41)),0)</f>
        <v>0</v>
      </c>
      <c r="G71" s="26">
        <f>IF(G$63&gt;=$C71,INDEX($D49:G49,1,MATCH(G$63-$C71+1,$D$41:G$41)),0)</f>
        <v>0</v>
      </c>
      <c r="H71" s="26">
        <f>IF(H$63&gt;=$C71,INDEX($D49:H49,1,MATCH(H$63-$C71+1,$D$41:H$41)),0)</f>
        <v>0</v>
      </c>
      <c r="I71" s="26">
        <f>IF(I$63&gt;=$C71,INDEX($D49:I49,1,MATCH(I$63-$C71+1,$D$41:I$41)),0)</f>
        <v>0</v>
      </c>
      <c r="J71" s="26">
        <f>IF(J$63&gt;=$C71,INDEX($D49:J49,1,MATCH(J$63-$C71+1,$D$41:J$41)),0)</f>
        <v>0</v>
      </c>
      <c r="K71" s="26">
        <f>IF(K$63&gt;=$C71,INDEX($D49:K49,1,MATCH(K$63-$C71+1,$D$41:K$41)),0)</f>
        <v>2</v>
      </c>
      <c r="L71" s="26">
        <f>IF(L$63&gt;=$C71,INDEX($D49:L49,1,MATCH(L$63-$C71+1,$D$41:L$41)),0)</f>
        <v>0</v>
      </c>
      <c r="M71" s="26">
        <f>IF(M$63&gt;=$C71,INDEX($D49:M49,1,MATCH(M$63-$C71+1,$D$41:M$41)),0)</f>
        <v>0</v>
      </c>
      <c r="N71" s="26">
        <f>IF(N$63&gt;=$C71,INDEX($D49:N49,1,MATCH(N$63-$C71+1,$D$41:N$41)),0)</f>
        <v>0</v>
      </c>
      <c r="O71" s="26">
        <f>IF(O$63&gt;=$C71,INDEX($D49:O49,1,MATCH(O$63-$C71+1,$D$41:O$41)),0)</f>
        <v>0</v>
      </c>
      <c r="P71" s="26">
        <f>IF(P$63&gt;=$C71,INDEX($D49:P49,1,MATCH(P$63-$C71+1,$D$41:P$41)),0)</f>
        <v>0</v>
      </c>
      <c r="Q71" s="26">
        <f>IF(Q$63&gt;=$C71,INDEX($D49:Q49,1,MATCH(Q$63-$C71+1,$D$41:Q$41)),0)</f>
        <v>0</v>
      </c>
      <c r="R71" s="26">
        <f>IF(R$63&gt;=$C71,INDEX($D49:R49,1,MATCH(R$63-$C71+1,$D$41:R$41)),0)</f>
        <v>0</v>
      </c>
      <c r="S71" s="26">
        <f>IF(S$63&gt;=$C71,INDEX($D49:S49,1,MATCH(S$63-$C71+1,$D$41:S$41)),0)</f>
        <v>2</v>
      </c>
      <c r="T71" s="26">
        <f>IF(T$63&gt;=$C71,INDEX($D49:T49,1,MATCH(T$63-$C71+1,$D$41:T$41)),0)</f>
        <v>0</v>
      </c>
      <c r="U71" s="26">
        <f>IF(U$63&gt;=$C71,INDEX($D49:U49,1,MATCH(U$63-$C71+1,$D$41:U$41)),0)</f>
        <v>0</v>
      </c>
      <c r="V71" s="26">
        <f>IF(V$63&gt;=$C71,INDEX($D49:V49,1,MATCH(V$63-$C71+1,$D$41:V$41)),0)</f>
        <v>0</v>
      </c>
      <c r="W71" s="26">
        <f>IF(W$63&gt;=$C71,INDEX($D49:W49,1,MATCH(W$63-$C71+1,$D$41:W$41)),0)</f>
        <v>0</v>
      </c>
      <c r="Z71" s="26">
        <v>0</v>
      </c>
      <c r="AA71" s="26">
        <f>IF(AA$63&gt;=$C71,INDEX($Z49:AA49,1,MATCH(AA$63-$C71+1,$Z$41:AA$41)),0)</f>
        <v>0</v>
      </c>
      <c r="AB71" s="26">
        <f>IF(AB$63&gt;=$C71,INDEX($Z49:AB49,1,MATCH(AB$63-$C71+1,$Z$41:AB$41)),0)</f>
        <v>0</v>
      </c>
      <c r="AC71" s="26">
        <f>IF(AC$63&gt;=$C71,INDEX($Z49:AC49,1,MATCH(AC$63-$C71+1,$Z$41:AC$41)),0)</f>
        <v>0</v>
      </c>
      <c r="AD71" s="26">
        <f>IF(AD$63&gt;=$C71,INDEX($Z49:AD49,1,MATCH(AD$63-$C71+1,$Z$41:AD$41)),0)</f>
        <v>0</v>
      </c>
      <c r="AE71" s="26">
        <f>IF(AE$63&gt;=$C71,INDEX($Z49:AE49,1,MATCH(AE$63-$C71+1,$Z$41:AE$41)),0)</f>
        <v>0</v>
      </c>
      <c r="AF71" s="26">
        <f>IF(AF$63&gt;=$C71,INDEX($Z49:AF49,1,MATCH(AF$63-$C71+1,$Z$41:AF$41)),0)</f>
        <v>0</v>
      </c>
      <c r="AG71" s="26">
        <f>IF(AG$63&gt;=$C71,INDEX($Z49:AG49,1,MATCH(AG$63-$C71+1,$Z$41:AG$41)),0)</f>
        <v>2</v>
      </c>
      <c r="AH71" s="26">
        <f>IF(AH$63&gt;=$C71,INDEX($Z49:AH49,1,MATCH(AH$63-$C71+1,$Z$41:AH$41)),0)</f>
        <v>0</v>
      </c>
      <c r="AI71" s="26">
        <f>IF(AI$63&gt;=$C71,INDEX($Z49:AI49,1,MATCH(AI$63-$C71+1,$Z$41:AI$41)),0)</f>
        <v>0</v>
      </c>
      <c r="AJ71" s="26">
        <f>IF(AJ$63&gt;=$C71,INDEX($Z49:AJ49,1,MATCH(AJ$63-$C71+1,$Z$41:AJ$41)),0)</f>
        <v>0</v>
      </c>
      <c r="AK71" s="26">
        <f>IF(AK$63&gt;=$C71,INDEX($Z49:AK49,1,MATCH(AK$63-$C71+1,$Z$41:AK$41)),0)</f>
        <v>0</v>
      </c>
      <c r="AL71" s="26">
        <f>IF(AL$63&gt;=$C71,INDEX($Z49:AL49,1,MATCH(AL$63-$C71+1,$Z$41:AL$41)),0)</f>
        <v>0</v>
      </c>
      <c r="AM71" s="26">
        <f>IF(AM$63&gt;=$C71,INDEX($Z49:AM49,1,MATCH(AM$63-$C71+1,$Z$41:AM$41)),0)</f>
        <v>0</v>
      </c>
      <c r="AN71" s="26">
        <f>IF(AN$63&gt;=$C71,INDEX($Z49:AN49,1,MATCH(AN$63-$C71+1,$Z$41:AN$41)),0)</f>
        <v>0</v>
      </c>
      <c r="AO71" s="26">
        <f>IF(AO$63&gt;=$C71,INDEX($Z49:AO49,1,MATCH(AO$63-$C71+1,$Z$41:AO$41)),0)</f>
        <v>2</v>
      </c>
      <c r="AP71" s="26">
        <f>IF(AP$63&gt;=$C71,INDEX($Z49:AP49,1,MATCH(AP$63-$C71+1,$Z$41:AP$41)),0)</f>
        <v>0</v>
      </c>
      <c r="AQ71" s="26">
        <f>IF(AQ$63&gt;=$C71,INDEX($Z49:AQ49,1,MATCH(AQ$63-$C71+1,$Z$41:AQ$41)),0)</f>
        <v>0</v>
      </c>
      <c r="AR71" s="26">
        <f>IF(AR$63&gt;=$C71,INDEX($Z49:AR49,1,MATCH(AR$63-$C71+1,$Z$41:AR$41)),0)</f>
        <v>0</v>
      </c>
      <c r="AS71" s="26">
        <f>IF(AS$63&gt;=$C71,INDEX($Z49:AS49,1,MATCH(AS$63-$C71+1,$Z$41:AS$41)),0)</f>
        <v>0</v>
      </c>
    </row>
    <row r="72" spans="1:49" x14ac:dyDescent="0.35">
      <c r="A72" s="7" t="str">
        <v>Interrogating - Call session control function software</v>
      </c>
      <c r="C72" s="9">
        <v>8</v>
      </c>
      <c r="D72" s="73">
        <v>0</v>
      </c>
      <c r="E72" s="26">
        <f>IF(E$63&gt;=$C72,INDEX($D50:E50,1,MATCH(E$63-$C72+1,$D$41:E$41)),0)</f>
        <v>0</v>
      </c>
      <c r="F72" s="26">
        <f>IF(F$63&gt;=$C72,INDEX($D50:F50,1,MATCH(F$63-$C72+1,$D$41:F$41)),0)</f>
        <v>0</v>
      </c>
      <c r="G72" s="26">
        <f>IF(G$63&gt;=$C72,INDEX($D50:G50,1,MATCH(G$63-$C72+1,$D$41:G$41)),0)</f>
        <v>0</v>
      </c>
      <c r="H72" s="26">
        <f>IF(H$63&gt;=$C72,INDEX($D50:H50,1,MATCH(H$63-$C72+1,$D$41:H$41)),0)</f>
        <v>0</v>
      </c>
      <c r="I72" s="26">
        <f>IF(I$63&gt;=$C72,INDEX($D50:I50,1,MATCH(I$63-$C72+1,$D$41:I$41)),0)</f>
        <v>0</v>
      </c>
      <c r="J72" s="26">
        <f>IF(J$63&gt;=$C72,INDEX($D50:J50,1,MATCH(J$63-$C72+1,$D$41:J$41)),0)</f>
        <v>0</v>
      </c>
      <c r="K72" s="26">
        <f>IF(K$63&gt;=$C72,INDEX($D50:K50,1,MATCH(K$63-$C72+1,$D$41:K$41)),0)</f>
        <v>1714</v>
      </c>
      <c r="L72" s="26">
        <f>IF(L$63&gt;=$C72,INDEX($D50:L50,1,MATCH(L$63-$C72+1,$D$41:L$41)),0)</f>
        <v>0</v>
      </c>
      <c r="M72" s="26">
        <f>IF(M$63&gt;=$C72,INDEX($D50:M50,1,MATCH(M$63-$C72+1,$D$41:M$41)),0)</f>
        <v>0</v>
      </c>
      <c r="N72" s="26">
        <f>IF(N$63&gt;=$C72,INDEX($D50:N50,1,MATCH(N$63-$C72+1,$D$41:N$41)),0)</f>
        <v>0</v>
      </c>
      <c r="O72" s="26">
        <f>IF(O$63&gt;=$C72,INDEX($D50:O50,1,MATCH(O$63-$C72+1,$D$41:O$41)),0)</f>
        <v>0</v>
      </c>
      <c r="P72" s="26">
        <f>IF(P$63&gt;=$C72,INDEX($D50:P50,1,MATCH(P$63-$C72+1,$D$41:P$41)),0)</f>
        <v>0</v>
      </c>
      <c r="Q72" s="26">
        <f>IF(Q$63&gt;=$C72,INDEX($D50:Q50,1,MATCH(Q$63-$C72+1,$D$41:Q$41)),0)</f>
        <v>0</v>
      </c>
      <c r="R72" s="26">
        <f>IF(R$63&gt;=$C72,INDEX($D50:R50,1,MATCH(R$63-$C72+1,$D$41:R$41)),0)</f>
        <v>0</v>
      </c>
      <c r="S72" s="26">
        <f>IF(S$63&gt;=$C72,INDEX($D50:S50,1,MATCH(S$63-$C72+1,$D$41:S$41)),0)</f>
        <v>1250</v>
      </c>
      <c r="T72" s="26">
        <f>IF(T$63&gt;=$C72,INDEX($D50:T50,1,MATCH(T$63-$C72+1,$D$41:T$41)),0)</f>
        <v>0</v>
      </c>
      <c r="U72" s="26">
        <f>IF(U$63&gt;=$C72,INDEX($D50:U50,1,MATCH(U$63-$C72+1,$D$41:U$41)),0)</f>
        <v>0</v>
      </c>
      <c r="V72" s="26">
        <f>IF(V$63&gt;=$C72,INDEX($D50:V50,1,MATCH(V$63-$C72+1,$D$41:V$41)),0)</f>
        <v>0</v>
      </c>
      <c r="W72" s="26">
        <f>IF(W$63&gt;=$C72,INDEX($D50:W50,1,MATCH(W$63-$C72+1,$D$41:W$41)),0)</f>
        <v>0</v>
      </c>
      <c r="Z72" s="26">
        <v>0</v>
      </c>
      <c r="AA72" s="26">
        <f>IF(AA$63&gt;=$C72,INDEX($Z50:AA50,1,MATCH(AA$63-$C72+1,$Z$41:AA$41)),0)</f>
        <v>0</v>
      </c>
      <c r="AB72" s="26">
        <f>IF(AB$63&gt;=$C72,INDEX($Z50:AB50,1,MATCH(AB$63-$C72+1,$Z$41:AB$41)),0)</f>
        <v>0</v>
      </c>
      <c r="AC72" s="26">
        <f>IF(AC$63&gt;=$C72,INDEX($Z50:AC50,1,MATCH(AC$63-$C72+1,$Z$41:AC$41)),0)</f>
        <v>0</v>
      </c>
      <c r="AD72" s="26">
        <f>IF(AD$63&gt;=$C72,INDEX($Z50:AD50,1,MATCH(AD$63-$C72+1,$Z$41:AD$41)),0)</f>
        <v>0</v>
      </c>
      <c r="AE72" s="26">
        <f>IF(AE$63&gt;=$C72,INDEX($Z50:AE50,1,MATCH(AE$63-$C72+1,$Z$41:AE$41)),0)</f>
        <v>0</v>
      </c>
      <c r="AF72" s="26">
        <f>IF(AF$63&gt;=$C72,INDEX($Z50:AF50,1,MATCH(AF$63-$C72+1,$Z$41:AF$41)),0)</f>
        <v>0</v>
      </c>
      <c r="AG72" s="26">
        <f>IF(AG$63&gt;=$C72,INDEX($Z50:AG50,1,MATCH(AG$63-$C72+1,$Z$41:AG$41)),0)</f>
        <v>1266</v>
      </c>
      <c r="AH72" s="26">
        <f>IF(AH$63&gt;=$C72,INDEX($Z50:AH50,1,MATCH(AH$63-$C72+1,$Z$41:AH$41)),0)</f>
        <v>0</v>
      </c>
      <c r="AI72" s="26">
        <f>IF(AI$63&gt;=$C72,INDEX($Z50:AI50,1,MATCH(AI$63-$C72+1,$Z$41:AI$41)),0)</f>
        <v>0</v>
      </c>
      <c r="AJ72" s="26">
        <f>IF(AJ$63&gt;=$C72,INDEX($Z50:AJ50,1,MATCH(AJ$63-$C72+1,$Z$41:AJ$41)),0)</f>
        <v>0</v>
      </c>
      <c r="AK72" s="26">
        <f>IF(AK$63&gt;=$C72,INDEX($Z50:AK50,1,MATCH(AK$63-$C72+1,$Z$41:AK$41)),0)</f>
        <v>0</v>
      </c>
      <c r="AL72" s="26">
        <f>IF(AL$63&gt;=$C72,INDEX($Z50:AL50,1,MATCH(AL$63-$C72+1,$Z$41:AL$41)),0)</f>
        <v>0</v>
      </c>
      <c r="AM72" s="26">
        <f>IF(AM$63&gt;=$C72,INDEX($Z50:AM50,1,MATCH(AM$63-$C72+1,$Z$41:AM$41)),0)</f>
        <v>0</v>
      </c>
      <c r="AN72" s="26">
        <f>IF(AN$63&gt;=$C72,INDEX($Z50:AN50,1,MATCH(AN$63-$C72+1,$Z$41:AN$41)),0)</f>
        <v>0</v>
      </c>
      <c r="AO72" s="26">
        <f>IF(AO$63&gt;=$C72,INDEX($Z50:AO50,1,MATCH(AO$63-$C72+1,$Z$41:AO$41)),0)</f>
        <v>872</v>
      </c>
      <c r="AP72" s="26">
        <f>IF(AP$63&gt;=$C72,INDEX($Z50:AP50,1,MATCH(AP$63-$C72+1,$Z$41:AP$41)),0)</f>
        <v>0</v>
      </c>
      <c r="AQ72" s="26">
        <f>IF(AQ$63&gt;=$C72,INDEX($Z50:AQ50,1,MATCH(AQ$63-$C72+1,$Z$41:AQ$41)),0)</f>
        <v>0</v>
      </c>
      <c r="AR72" s="26">
        <f>IF(AR$63&gt;=$C72,INDEX($Z50:AR50,1,MATCH(AR$63-$C72+1,$Z$41:AR$41)),0)</f>
        <v>0</v>
      </c>
      <c r="AS72" s="26">
        <f>IF(AS$63&gt;=$C72,INDEX($Z50:AS50,1,MATCH(AS$63-$C72+1,$Z$41:AS$41)),0)</f>
        <v>0</v>
      </c>
    </row>
    <row r="73" spans="1:49" x14ac:dyDescent="0.35">
      <c r="A73" s="7" t="str">
        <v>Serving - Call session control function hardware</v>
      </c>
      <c r="C73" s="9">
        <v>8</v>
      </c>
      <c r="D73" s="73">
        <v>0</v>
      </c>
      <c r="E73" s="26">
        <f>IF(E$63&gt;=$C73,INDEX($D51:E51,1,MATCH(E$63-$C73+1,$D$41:E$41)),0)</f>
        <v>0</v>
      </c>
      <c r="F73" s="26">
        <f>IF(F$63&gt;=$C73,INDEX($D51:F51,1,MATCH(F$63-$C73+1,$D$41:F$41)),0)</f>
        <v>0</v>
      </c>
      <c r="G73" s="26">
        <f>IF(G$63&gt;=$C73,INDEX($D51:G51,1,MATCH(G$63-$C73+1,$D$41:G$41)),0)</f>
        <v>0</v>
      </c>
      <c r="H73" s="26">
        <f>IF(H$63&gt;=$C73,INDEX($D51:H51,1,MATCH(H$63-$C73+1,$D$41:H$41)),0)</f>
        <v>0</v>
      </c>
      <c r="I73" s="26">
        <f>IF(I$63&gt;=$C73,INDEX($D51:I51,1,MATCH(I$63-$C73+1,$D$41:I$41)),0)</f>
        <v>0</v>
      </c>
      <c r="J73" s="26">
        <f>IF(J$63&gt;=$C73,INDEX($D51:J51,1,MATCH(J$63-$C73+1,$D$41:J$41)),0)</f>
        <v>0</v>
      </c>
      <c r="K73" s="26">
        <f>IF(K$63&gt;=$C73,INDEX($D51:K51,1,MATCH(K$63-$C73+1,$D$41:K$41)),0)</f>
        <v>2</v>
      </c>
      <c r="L73" s="26">
        <f>IF(L$63&gt;=$C73,INDEX($D51:L51,1,MATCH(L$63-$C73+1,$D$41:L$41)),0)</f>
        <v>0</v>
      </c>
      <c r="M73" s="26">
        <f>IF(M$63&gt;=$C73,INDEX($D51:M51,1,MATCH(M$63-$C73+1,$D$41:M$41)),0)</f>
        <v>0</v>
      </c>
      <c r="N73" s="26">
        <f>IF(N$63&gt;=$C73,INDEX($D51:N51,1,MATCH(N$63-$C73+1,$D$41:N$41)),0)</f>
        <v>0</v>
      </c>
      <c r="O73" s="26">
        <f>IF(O$63&gt;=$C73,INDEX($D51:O51,1,MATCH(O$63-$C73+1,$D$41:O$41)),0)</f>
        <v>0</v>
      </c>
      <c r="P73" s="26">
        <f>IF(P$63&gt;=$C73,INDEX($D51:P51,1,MATCH(P$63-$C73+1,$D$41:P$41)),0)</f>
        <v>0</v>
      </c>
      <c r="Q73" s="26">
        <f>IF(Q$63&gt;=$C73,INDEX($D51:Q51,1,MATCH(Q$63-$C73+1,$D$41:Q$41)),0)</f>
        <v>0</v>
      </c>
      <c r="R73" s="26">
        <f>IF(R$63&gt;=$C73,INDEX($D51:R51,1,MATCH(R$63-$C73+1,$D$41:R$41)),0)</f>
        <v>0</v>
      </c>
      <c r="S73" s="26">
        <f>IF(S$63&gt;=$C73,INDEX($D51:S51,1,MATCH(S$63-$C73+1,$D$41:S$41)),0)</f>
        <v>2</v>
      </c>
      <c r="T73" s="26">
        <f>IF(T$63&gt;=$C73,INDEX($D51:T51,1,MATCH(T$63-$C73+1,$D$41:T$41)),0)</f>
        <v>0</v>
      </c>
      <c r="U73" s="26">
        <f>IF(U$63&gt;=$C73,INDEX($D51:U51,1,MATCH(U$63-$C73+1,$D$41:U$41)),0)</f>
        <v>0</v>
      </c>
      <c r="V73" s="26">
        <f>IF(V$63&gt;=$C73,INDEX($D51:V51,1,MATCH(V$63-$C73+1,$D$41:V$41)),0)</f>
        <v>0</v>
      </c>
      <c r="W73" s="26">
        <f>IF(W$63&gt;=$C73,INDEX($D51:W51,1,MATCH(W$63-$C73+1,$D$41:W$41)),0)</f>
        <v>0</v>
      </c>
      <c r="Z73" s="26">
        <v>0</v>
      </c>
      <c r="AA73" s="26">
        <f>IF(AA$63&gt;=$C73,INDEX($Z51:AA51,1,MATCH(AA$63-$C73+1,$Z$41:AA$41)),0)</f>
        <v>0</v>
      </c>
      <c r="AB73" s="26">
        <f>IF(AB$63&gt;=$C73,INDEX($Z51:AB51,1,MATCH(AB$63-$C73+1,$Z$41:AB$41)),0)</f>
        <v>0</v>
      </c>
      <c r="AC73" s="26">
        <f>IF(AC$63&gt;=$C73,INDEX($Z51:AC51,1,MATCH(AC$63-$C73+1,$Z$41:AC$41)),0)</f>
        <v>0</v>
      </c>
      <c r="AD73" s="26">
        <f>IF(AD$63&gt;=$C73,INDEX($Z51:AD51,1,MATCH(AD$63-$C73+1,$Z$41:AD$41)),0)</f>
        <v>0</v>
      </c>
      <c r="AE73" s="26">
        <f>IF(AE$63&gt;=$C73,INDEX($Z51:AE51,1,MATCH(AE$63-$C73+1,$Z$41:AE$41)),0)</f>
        <v>0</v>
      </c>
      <c r="AF73" s="26">
        <f>IF(AF$63&gt;=$C73,INDEX($Z51:AF51,1,MATCH(AF$63-$C73+1,$Z$41:AF$41)),0)</f>
        <v>0</v>
      </c>
      <c r="AG73" s="26">
        <f>IF(AG$63&gt;=$C73,INDEX($Z51:AG51,1,MATCH(AG$63-$C73+1,$Z$41:AG$41)),0)</f>
        <v>2</v>
      </c>
      <c r="AH73" s="26">
        <f>IF(AH$63&gt;=$C73,INDEX($Z51:AH51,1,MATCH(AH$63-$C73+1,$Z$41:AH$41)),0)</f>
        <v>0</v>
      </c>
      <c r="AI73" s="26">
        <f>IF(AI$63&gt;=$C73,INDEX($Z51:AI51,1,MATCH(AI$63-$C73+1,$Z$41:AI$41)),0)</f>
        <v>0</v>
      </c>
      <c r="AJ73" s="26">
        <f>IF(AJ$63&gt;=$C73,INDEX($Z51:AJ51,1,MATCH(AJ$63-$C73+1,$Z$41:AJ$41)),0)</f>
        <v>0</v>
      </c>
      <c r="AK73" s="26">
        <f>IF(AK$63&gt;=$C73,INDEX($Z51:AK51,1,MATCH(AK$63-$C73+1,$Z$41:AK$41)),0)</f>
        <v>0</v>
      </c>
      <c r="AL73" s="26">
        <f>IF(AL$63&gt;=$C73,INDEX($Z51:AL51,1,MATCH(AL$63-$C73+1,$Z$41:AL$41)),0)</f>
        <v>0</v>
      </c>
      <c r="AM73" s="26">
        <f>IF(AM$63&gt;=$C73,INDEX($Z51:AM51,1,MATCH(AM$63-$C73+1,$Z$41:AM$41)),0)</f>
        <v>0</v>
      </c>
      <c r="AN73" s="26">
        <f>IF(AN$63&gt;=$C73,INDEX($Z51:AN51,1,MATCH(AN$63-$C73+1,$Z$41:AN$41)),0)</f>
        <v>0</v>
      </c>
      <c r="AO73" s="26">
        <f>IF(AO$63&gt;=$C73,INDEX($Z51:AO51,1,MATCH(AO$63-$C73+1,$Z$41:AO$41)),0)</f>
        <v>2</v>
      </c>
      <c r="AP73" s="26">
        <f>IF(AP$63&gt;=$C73,INDEX($Z51:AP51,1,MATCH(AP$63-$C73+1,$Z$41:AP$41)),0)</f>
        <v>0</v>
      </c>
      <c r="AQ73" s="26">
        <f>IF(AQ$63&gt;=$C73,INDEX($Z51:AQ51,1,MATCH(AQ$63-$C73+1,$Z$41:AQ$41)),0)</f>
        <v>0</v>
      </c>
      <c r="AR73" s="26">
        <f>IF(AR$63&gt;=$C73,INDEX($Z51:AR51,1,MATCH(AR$63-$C73+1,$Z$41:AR$41)),0)</f>
        <v>0</v>
      </c>
      <c r="AS73" s="26">
        <f>IF(AS$63&gt;=$C73,INDEX($Z51:AS51,1,MATCH(AS$63-$C73+1,$Z$41:AS$41)),0)</f>
        <v>0</v>
      </c>
    </row>
    <row r="74" spans="1:49" x14ac:dyDescent="0.35">
      <c r="A74" s="7" t="str">
        <v>Serving - Call session control function software</v>
      </c>
      <c r="C74" s="9">
        <v>8</v>
      </c>
      <c r="D74" s="73">
        <v>0</v>
      </c>
      <c r="E74" s="26">
        <f>IF(E$63&gt;=$C74,INDEX($D52:E52,1,MATCH(E$63-$C74+1,$D$41:E$41)),0)</f>
        <v>0</v>
      </c>
      <c r="F74" s="26">
        <f>IF(F$63&gt;=$C74,INDEX($D52:F52,1,MATCH(F$63-$C74+1,$D$41:F$41)),0)</f>
        <v>0</v>
      </c>
      <c r="G74" s="26">
        <f>IF(G$63&gt;=$C74,INDEX($D52:G52,1,MATCH(G$63-$C74+1,$D$41:G$41)),0)</f>
        <v>0</v>
      </c>
      <c r="H74" s="26">
        <f>IF(H$63&gt;=$C74,INDEX($D52:H52,1,MATCH(H$63-$C74+1,$D$41:H$41)),0)</f>
        <v>0</v>
      </c>
      <c r="I74" s="26">
        <f>IF(I$63&gt;=$C74,INDEX($D52:I52,1,MATCH(I$63-$C74+1,$D$41:I$41)),0)</f>
        <v>0</v>
      </c>
      <c r="J74" s="26">
        <f>IF(J$63&gt;=$C74,INDEX($D52:J52,1,MATCH(J$63-$C74+1,$D$41:J$41)),0)</f>
        <v>0</v>
      </c>
      <c r="K74" s="26">
        <f>IF(K$63&gt;=$C74,INDEX($D52:K52,1,MATCH(K$63-$C74+1,$D$41:K$41)),0)</f>
        <v>1714</v>
      </c>
      <c r="L74" s="26">
        <f>IF(L$63&gt;=$C74,INDEX($D52:L52,1,MATCH(L$63-$C74+1,$D$41:L$41)),0)</f>
        <v>0</v>
      </c>
      <c r="M74" s="26">
        <f>IF(M$63&gt;=$C74,INDEX($D52:M52,1,MATCH(M$63-$C74+1,$D$41:M$41)),0)</f>
        <v>0</v>
      </c>
      <c r="N74" s="26">
        <f>IF(N$63&gt;=$C74,INDEX($D52:N52,1,MATCH(N$63-$C74+1,$D$41:N$41)),0)</f>
        <v>0</v>
      </c>
      <c r="O74" s="26">
        <f>IF(O$63&gt;=$C74,INDEX($D52:O52,1,MATCH(O$63-$C74+1,$D$41:O$41)),0)</f>
        <v>0</v>
      </c>
      <c r="P74" s="26">
        <f>IF(P$63&gt;=$C74,INDEX($D52:P52,1,MATCH(P$63-$C74+1,$D$41:P$41)),0)</f>
        <v>0</v>
      </c>
      <c r="Q74" s="26">
        <f>IF(Q$63&gt;=$C74,INDEX($D52:Q52,1,MATCH(Q$63-$C74+1,$D$41:Q$41)),0)</f>
        <v>0</v>
      </c>
      <c r="R74" s="26">
        <f>IF(R$63&gt;=$C74,INDEX($D52:R52,1,MATCH(R$63-$C74+1,$D$41:R$41)),0)</f>
        <v>0</v>
      </c>
      <c r="S74" s="26">
        <f>IF(S$63&gt;=$C74,INDEX($D52:S52,1,MATCH(S$63-$C74+1,$D$41:S$41)),0)</f>
        <v>1250</v>
      </c>
      <c r="T74" s="26">
        <f>IF(T$63&gt;=$C74,INDEX($D52:T52,1,MATCH(T$63-$C74+1,$D$41:T$41)),0)</f>
        <v>0</v>
      </c>
      <c r="U74" s="26">
        <f>IF(U$63&gt;=$C74,INDEX($D52:U52,1,MATCH(U$63-$C74+1,$D$41:U$41)),0)</f>
        <v>0</v>
      </c>
      <c r="V74" s="26">
        <f>IF(V$63&gt;=$C74,INDEX($D52:V52,1,MATCH(V$63-$C74+1,$D$41:V$41)),0)</f>
        <v>0</v>
      </c>
      <c r="W74" s="26">
        <f>IF(W$63&gt;=$C74,INDEX($D52:W52,1,MATCH(W$63-$C74+1,$D$41:W$41)),0)</f>
        <v>0</v>
      </c>
      <c r="Z74" s="26">
        <v>0</v>
      </c>
      <c r="AA74" s="26">
        <f>IF(AA$63&gt;=$C74,INDEX($Z52:AA52,1,MATCH(AA$63-$C74+1,$Z$41:AA$41)),0)</f>
        <v>0</v>
      </c>
      <c r="AB74" s="26">
        <f>IF(AB$63&gt;=$C74,INDEX($Z52:AB52,1,MATCH(AB$63-$C74+1,$Z$41:AB$41)),0)</f>
        <v>0</v>
      </c>
      <c r="AC74" s="26">
        <f>IF(AC$63&gt;=$C74,INDEX($Z52:AC52,1,MATCH(AC$63-$C74+1,$Z$41:AC$41)),0)</f>
        <v>0</v>
      </c>
      <c r="AD74" s="26">
        <f>IF(AD$63&gt;=$C74,INDEX($Z52:AD52,1,MATCH(AD$63-$C74+1,$Z$41:AD$41)),0)</f>
        <v>0</v>
      </c>
      <c r="AE74" s="26">
        <f>IF(AE$63&gt;=$C74,INDEX($Z52:AE52,1,MATCH(AE$63-$C74+1,$Z$41:AE$41)),0)</f>
        <v>0</v>
      </c>
      <c r="AF74" s="26">
        <f>IF(AF$63&gt;=$C74,INDEX($Z52:AF52,1,MATCH(AF$63-$C74+1,$Z$41:AF$41)),0)</f>
        <v>0</v>
      </c>
      <c r="AG74" s="26">
        <f>IF(AG$63&gt;=$C74,INDEX($Z52:AG52,1,MATCH(AG$63-$C74+1,$Z$41:AG$41)),0)</f>
        <v>1266</v>
      </c>
      <c r="AH74" s="26">
        <f>IF(AH$63&gt;=$C74,INDEX($Z52:AH52,1,MATCH(AH$63-$C74+1,$Z$41:AH$41)),0)</f>
        <v>0</v>
      </c>
      <c r="AI74" s="26">
        <f>IF(AI$63&gt;=$C74,INDEX($Z52:AI52,1,MATCH(AI$63-$C74+1,$Z$41:AI$41)),0)</f>
        <v>0</v>
      </c>
      <c r="AJ74" s="26">
        <f>IF(AJ$63&gt;=$C74,INDEX($Z52:AJ52,1,MATCH(AJ$63-$C74+1,$Z$41:AJ$41)),0)</f>
        <v>0</v>
      </c>
      <c r="AK74" s="26">
        <f>IF(AK$63&gt;=$C74,INDEX($Z52:AK52,1,MATCH(AK$63-$C74+1,$Z$41:AK$41)),0)</f>
        <v>0</v>
      </c>
      <c r="AL74" s="26">
        <f>IF(AL$63&gt;=$C74,INDEX($Z52:AL52,1,MATCH(AL$63-$C74+1,$Z$41:AL$41)),0)</f>
        <v>0</v>
      </c>
      <c r="AM74" s="26">
        <f>IF(AM$63&gt;=$C74,INDEX($Z52:AM52,1,MATCH(AM$63-$C74+1,$Z$41:AM$41)),0)</f>
        <v>0</v>
      </c>
      <c r="AN74" s="26">
        <f>IF(AN$63&gt;=$C74,INDEX($Z52:AN52,1,MATCH(AN$63-$C74+1,$Z$41:AN$41)),0)</f>
        <v>0</v>
      </c>
      <c r="AO74" s="26">
        <f>IF(AO$63&gt;=$C74,INDEX($Z52:AO52,1,MATCH(AO$63-$C74+1,$Z$41:AO$41)),0)</f>
        <v>872</v>
      </c>
      <c r="AP74" s="26">
        <f>IF(AP$63&gt;=$C74,INDEX($Z52:AP52,1,MATCH(AP$63-$C74+1,$Z$41:AP$41)),0)</f>
        <v>0</v>
      </c>
      <c r="AQ74" s="26">
        <f>IF(AQ$63&gt;=$C74,INDEX($Z52:AQ52,1,MATCH(AQ$63-$C74+1,$Z$41:AQ$41)),0)</f>
        <v>0</v>
      </c>
      <c r="AR74" s="26">
        <f>IF(AR$63&gt;=$C74,INDEX($Z52:AR52,1,MATCH(AR$63-$C74+1,$Z$41:AR$41)),0)</f>
        <v>0</v>
      </c>
      <c r="AS74" s="26">
        <f>IF(AS$63&gt;=$C74,INDEX($Z52:AS52,1,MATCH(AS$63-$C74+1,$Z$41:AS$41)),0)</f>
        <v>0</v>
      </c>
    </row>
    <row r="75" spans="1:49" x14ac:dyDescent="0.35">
      <c r="A75" s="7" t="str">
        <v>Media resource function - hardware</v>
      </c>
      <c r="C75" s="9">
        <v>8</v>
      </c>
      <c r="D75" s="73">
        <v>0</v>
      </c>
      <c r="E75" s="26">
        <f>IF(E$63&gt;=$C75,INDEX($D53:E53,1,MATCH(E$63-$C75+1,$D$41:E$41)),0)</f>
        <v>0</v>
      </c>
      <c r="F75" s="26">
        <f>IF(F$63&gt;=$C75,INDEX($D53:F53,1,MATCH(F$63-$C75+1,$D$41:F$41)),0)</f>
        <v>0</v>
      </c>
      <c r="G75" s="26">
        <f>IF(G$63&gt;=$C75,INDEX($D53:G53,1,MATCH(G$63-$C75+1,$D$41:G$41)),0)</f>
        <v>0</v>
      </c>
      <c r="H75" s="26">
        <f>IF(H$63&gt;=$C75,INDEX($D53:H53,1,MATCH(H$63-$C75+1,$D$41:H$41)),0)</f>
        <v>0</v>
      </c>
      <c r="I75" s="26">
        <f>IF(I$63&gt;=$C75,INDEX($D53:I53,1,MATCH(I$63-$C75+1,$D$41:I$41)),0)</f>
        <v>0</v>
      </c>
      <c r="J75" s="26">
        <f>IF(J$63&gt;=$C75,INDEX($D53:J53,1,MATCH(J$63-$C75+1,$D$41:J$41)),0)</f>
        <v>0</v>
      </c>
      <c r="K75" s="26">
        <f>IF(K$63&gt;=$C75,INDEX($D53:K53,1,MATCH(K$63-$C75+1,$D$41:K$41)),0)</f>
        <v>14</v>
      </c>
      <c r="L75" s="26">
        <f>IF(L$63&gt;=$C75,INDEX($D53:L53,1,MATCH(L$63-$C75+1,$D$41:L$41)),0)</f>
        <v>0</v>
      </c>
      <c r="M75" s="26">
        <f>IF(M$63&gt;=$C75,INDEX($D53:M53,1,MATCH(M$63-$C75+1,$D$41:M$41)),0)</f>
        <v>0</v>
      </c>
      <c r="N75" s="26">
        <f>IF(N$63&gt;=$C75,INDEX($D53:N53,1,MATCH(N$63-$C75+1,$D$41:N$41)),0)</f>
        <v>0</v>
      </c>
      <c r="O75" s="26">
        <f>IF(O$63&gt;=$C75,INDEX($D53:O53,1,MATCH(O$63-$C75+1,$D$41:O$41)),0)</f>
        <v>0</v>
      </c>
      <c r="P75" s="26">
        <f>IF(P$63&gt;=$C75,INDEX($D53:P53,1,MATCH(P$63-$C75+1,$D$41:P$41)),0)</f>
        <v>0</v>
      </c>
      <c r="Q75" s="26">
        <f>IF(Q$63&gt;=$C75,INDEX($D53:Q53,1,MATCH(Q$63-$C75+1,$D$41:Q$41)),0)</f>
        <v>0</v>
      </c>
      <c r="R75" s="26">
        <f>IF(R$63&gt;=$C75,INDEX($D53:R53,1,MATCH(R$63-$C75+1,$D$41:R$41)),0)</f>
        <v>0</v>
      </c>
      <c r="S75" s="26">
        <f>IF(S$63&gt;=$C75,INDEX($D53:S53,1,MATCH(S$63-$C75+1,$D$41:S$41)),0)</f>
        <v>10</v>
      </c>
      <c r="T75" s="26">
        <f>IF(T$63&gt;=$C75,INDEX($D53:T53,1,MATCH(T$63-$C75+1,$D$41:T$41)),0)</f>
        <v>0</v>
      </c>
      <c r="U75" s="26">
        <f>IF(U$63&gt;=$C75,INDEX($D53:U53,1,MATCH(U$63-$C75+1,$D$41:U$41)),0)</f>
        <v>0</v>
      </c>
      <c r="V75" s="26">
        <f>IF(V$63&gt;=$C75,INDEX($D53:V53,1,MATCH(V$63-$C75+1,$D$41:V$41)),0)</f>
        <v>0</v>
      </c>
      <c r="W75" s="26">
        <f>IF(W$63&gt;=$C75,INDEX($D53:W53,1,MATCH(W$63-$C75+1,$D$41:W$41)),0)</f>
        <v>0</v>
      </c>
      <c r="Z75" s="26">
        <v>0</v>
      </c>
      <c r="AA75" s="26">
        <f>IF(AA$63&gt;=$C75,INDEX($Z53:AA53,1,MATCH(AA$63-$C75+1,$Z$41:AA$41)),0)</f>
        <v>0</v>
      </c>
      <c r="AB75" s="26">
        <f>IF(AB$63&gt;=$C75,INDEX($Z53:AB53,1,MATCH(AB$63-$C75+1,$Z$41:AB$41)),0)</f>
        <v>0</v>
      </c>
      <c r="AC75" s="26">
        <f>IF(AC$63&gt;=$C75,INDEX($Z53:AC53,1,MATCH(AC$63-$C75+1,$Z$41:AC$41)),0)</f>
        <v>0</v>
      </c>
      <c r="AD75" s="26">
        <f>IF(AD$63&gt;=$C75,INDEX($Z53:AD53,1,MATCH(AD$63-$C75+1,$Z$41:AD$41)),0)</f>
        <v>0</v>
      </c>
      <c r="AE75" s="26">
        <f>IF(AE$63&gt;=$C75,INDEX($Z53:AE53,1,MATCH(AE$63-$C75+1,$Z$41:AE$41)),0)</f>
        <v>0</v>
      </c>
      <c r="AF75" s="26">
        <f>IF(AF$63&gt;=$C75,INDEX($Z53:AF53,1,MATCH(AF$63-$C75+1,$Z$41:AF$41)),0)</f>
        <v>0</v>
      </c>
      <c r="AG75" s="26">
        <f>IF(AG$63&gt;=$C75,INDEX($Z53:AG53,1,MATCH(AG$63-$C75+1,$Z$41:AG$41)),0)</f>
        <v>8</v>
      </c>
      <c r="AH75" s="26">
        <f>IF(AH$63&gt;=$C75,INDEX($Z53:AH53,1,MATCH(AH$63-$C75+1,$Z$41:AH$41)),0)</f>
        <v>0</v>
      </c>
      <c r="AI75" s="26">
        <f>IF(AI$63&gt;=$C75,INDEX($Z53:AI53,1,MATCH(AI$63-$C75+1,$Z$41:AI$41)),0)</f>
        <v>0</v>
      </c>
      <c r="AJ75" s="26">
        <f>IF(AJ$63&gt;=$C75,INDEX($Z53:AJ53,1,MATCH(AJ$63-$C75+1,$Z$41:AJ$41)),0)</f>
        <v>0</v>
      </c>
      <c r="AK75" s="26">
        <f>IF(AK$63&gt;=$C75,INDEX($Z53:AK53,1,MATCH(AK$63-$C75+1,$Z$41:AK$41)),0)</f>
        <v>0</v>
      </c>
      <c r="AL75" s="26">
        <f>IF(AL$63&gt;=$C75,INDEX($Z53:AL53,1,MATCH(AL$63-$C75+1,$Z$41:AL$41)),0)</f>
        <v>0</v>
      </c>
      <c r="AM75" s="26">
        <f>IF(AM$63&gt;=$C75,INDEX($Z53:AM53,1,MATCH(AM$63-$C75+1,$Z$41:AM$41)),0)</f>
        <v>0</v>
      </c>
      <c r="AN75" s="26">
        <f>IF(AN$63&gt;=$C75,INDEX($Z53:AN53,1,MATCH(AN$63-$C75+1,$Z$41:AN$41)),0)</f>
        <v>0</v>
      </c>
      <c r="AO75" s="26">
        <f>IF(AO$63&gt;=$C75,INDEX($Z53:AO53,1,MATCH(AO$63-$C75+1,$Z$41:AO$41)),0)</f>
        <v>6</v>
      </c>
      <c r="AP75" s="26">
        <f>IF(AP$63&gt;=$C75,INDEX($Z53:AP53,1,MATCH(AP$63-$C75+1,$Z$41:AP$41)),0)</f>
        <v>0</v>
      </c>
      <c r="AQ75" s="26">
        <f>IF(AQ$63&gt;=$C75,INDEX($Z53:AQ53,1,MATCH(AQ$63-$C75+1,$Z$41:AQ$41)),0)</f>
        <v>0</v>
      </c>
      <c r="AR75" s="26">
        <f>IF(AR$63&gt;=$C75,INDEX($Z53:AR53,1,MATCH(AR$63-$C75+1,$Z$41:AR$41)),0)</f>
        <v>0</v>
      </c>
      <c r="AS75" s="26">
        <f>IF(AS$63&gt;=$C75,INDEX($Z53:AS53,1,MATCH(AS$63-$C75+1,$Z$41:AS$41)),0)</f>
        <v>0</v>
      </c>
    </row>
    <row r="76" spans="1:49" x14ac:dyDescent="0.35">
      <c r="A76" s="7" t="str">
        <v>Media resource function - software</v>
      </c>
      <c r="C76" s="9">
        <v>8</v>
      </c>
      <c r="D76" s="73">
        <v>0</v>
      </c>
      <c r="E76" s="26">
        <f>IF(E$63&gt;=$C76,INDEX($D54:E54,1,MATCH(E$63-$C76+1,$D$41:E$41)),0)</f>
        <v>0</v>
      </c>
      <c r="F76" s="26">
        <f>IF(F$63&gt;=$C76,INDEX($D54:F54,1,MATCH(F$63-$C76+1,$D$41:F$41)),0)</f>
        <v>0</v>
      </c>
      <c r="G76" s="26">
        <f>IF(G$63&gt;=$C76,INDEX($D54:G54,1,MATCH(G$63-$C76+1,$D$41:G$41)),0)</f>
        <v>0</v>
      </c>
      <c r="H76" s="26">
        <f>IF(H$63&gt;=$C76,INDEX($D54:H54,1,MATCH(H$63-$C76+1,$D$41:H$41)),0)</f>
        <v>0</v>
      </c>
      <c r="I76" s="26">
        <f>IF(I$63&gt;=$C76,INDEX($D54:I54,1,MATCH(I$63-$C76+1,$D$41:I$41)),0)</f>
        <v>0</v>
      </c>
      <c r="J76" s="26">
        <f>IF(J$63&gt;=$C76,INDEX($D54:J54,1,MATCH(J$63-$C76+1,$D$41:J$41)),0)</f>
        <v>0</v>
      </c>
      <c r="K76" s="26">
        <f>IF(K$63&gt;=$C76,INDEX($D54:K54,1,MATCH(K$63-$C76+1,$D$41:K$41)),0)</f>
        <v>136710</v>
      </c>
      <c r="L76" s="26">
        <f>IF(L$63&gt;=$C76,INDEX($D54:L54,1,MATCH(L$63-$C76+1,$D$41:L$41)),0)</f>
        <v>0</v>
      </c>
      <c r="M76" s="26">
        <f>IF(M$63&gt;=$C76,INDEX($D54:M54,1,MATCH(M$63-$C76+1,$D$41:M$41)),0)</f>
        <v>0</v>
      </c>
      <c r="N76" s="26">
        <f>IF(N$63&gt;=$C76,INDEX($D54:N54,1,MATCH(N$63-$C76+1,$D$41:N$41)),0)</f>
        <v>0</v>
      </c>
      <c r="O76" s="26">
        <f>IF(O$63&gt;=$C76,INDEX($D54:O54,1,MATCH(O$63-$C76+1,$D$41:O$41)),0)</f>
        <v>0</v>
      </c>
      <c r="P76" s="26">
        <f>IF(P$63&gt;=$C76,INDEX($D54:P54,1,MATCH(P$63-$C76+1,$D$41:P$41)),0)</f>
        <v>0</v>
      </c>
      <c r="Q76" s="26">
        <f>IF(Q$63&gt;=$C76,INDEX($D54:Q54,1,MATCH(Q$63-$C76+1,$D$41:Q$41)),0)</f>
        <v>0</v>
      </c>
      <c r="R76" s="26">
        <f>IF(R$63&gt;=$C76,INDEX($D54:R54,1,MATCH(R$63-$C76+1,$D$41:R$41)),0)</f>
        <v>0</v>
      </c>
      <c r="S76" s="26">
        <f>IF(S$63&gt;=$C76,INDEX($D54:S54,1,MATCH(S$63-$C76+1,$D$41:S$41)),0)</f>
        <v>97932</v>
      </c>
      <c r="T76" s="26">
        <f>IF(T$63&gt;=$C76,INDEX($D54:T54,1,MATCH(T$63-$C76+1,$D$41:T$41)),0)</f>
        <v>0</v>
      </c>
      <c r="U76" s="26">
        <f>IF(U$63&gt;=$C76,INDEX($D54:U54,1,MATCH(U$63-$C76+1,$D$41:U$41)),0)</f>
        <v>0</v>
      </c>
      <c r="V76" s="26">
        <f>IF(V$63&gt;=$C76,INDEX($D54:V54,1,MATCH(V$63-$C76+1,$D$41:V$41)),0)</f>
        <v>0</v>
      </c>
      <c r="W76" s="26">
        <f>IF(W$63&gt;=$C76,INDEX($D54:W54,1,MATCH(W$63-$C76+1,$D$41:W$41)),0)</f>
        <v>0</v>
      </c>
      <c r="Z76" s="26">
        <v>0</v>
      </c>
      <c r="AA76" s="26">
        <f>IF(AA$63&gt;=$C76,INDEX($Z54:AA54,1,MATCH(AA$63-$C76+1,$Z$41:AA$41)),0)</f>
        <v>0</v>
      </c>
      <c r="AB76" s="26">
        <f>IF(AB$63&gt;=$C76,INDEX($Z54:AB54,1,MATCH(AB$63-$C76+1,$Z$41:AB$41)),0)</f>
        <v>0</v>
      </c>
      <c r="AC76" s="26">
        <f>IF(AC$63&gt;=$C76,INDEX($Z54:AC54,1,MATCH(AC$63-$C76+1,$Z$41:AC$41)),0)</f>
        <v>0</v>
      </c>
      <c r="AD76" s="26">
        <f>IF(AD$63&gt;=$C76,INDEX($Z54:AD54,1,MATCH(AD$63-$C76+1,$Z$41:AD$41)),0)</f>
        <v>0</v>
      </c>
      <c r="AE76" s="26">
        <f>IF(AE$63&gt;=$C76,INDEX($Z54:AE54,1,MATCH(AE$63-$C76+1,$Z$41:AE$41)),0)</f>
        <v>0</v>
      </c>
      <c r="AF76" s="26">
        <f>IF(AF$63&gt;=$C76,INDEX($Z54:AF54,1,MATCH(AF$63-$C76+1,$Z$41:AF$41)),0)</f>
        <v>0</v>
      </c>
      <c r="AG76" s="26">
        <f>IF(AG$63&gt;=$C76,INDEX($Z54:AG54,1,MATCH(AG$63-$C76+1,$Z$41:AG$41)),0)</f>
        <v>106550</v>
      </c>
      <c r="AH76" s="26">
        <f>IF(AH$63&gt;=$C76,INDEX($Z54:AH54,1,MATCH(AH$63-$C76+1,$Z$41:AH$41)),0)</f>
        <v>0</v>
      </c>
      <c r="AI76" s="26">
        <f>IF(AI$63&gt;=$C76,INDEX($Z54:AI54,1,MATCH(AI$63-$C76+1,$Z$41:AI$41)),0)</f>
        <v>0</v>
      </c>
      <c r="AJ76" s="26">
        <f>IF(AJ$63&gt;=$C76,INDEX($Z54:AJ54,1,MATCH(AJ$63-$C76+1,$Z$41:AJ$41)),0)</f>
        <v>0</v>
      </c>
      <c r="AK76" s="26">
        <f>IF(AK$63&gt;=$C76,INDEX($Z54:AK54,1,MATCH(AK$63-$C76+1,$Z$41:AK$41)),0)</f>
        <v>0</v>
      </c>
      <c r="AL76" s="26">
        <f>IF(AL$63&gt;=$C76,INDEX($Z54:AL54,1,MATCH(AL$63-$C76+1,$Z$41:AL$41)),0)</f>
        <v>0</v>
      </c>
      <c r="AM76" s="26">
        <f>IF(AM$63&gt;=$C76,INDEX($Z54:AM54,1,MATCH(AM$63-$C76+1,$Z$41:AM$41)),0)</f>
        <v>0</v>
      </c>
      <c r="AN76" s="26">
        <f>IF(AN$63&gt;=$C76,INDEX($Z54:AN54,1,MATCH(AN$63-$C76+1,$Z$41:AN$41)),0)</f>
        <v>0</v>
      </c>
      <c r="AO76" s="26">
        <f>IF(AO$63&gt;=$C76,INDEX($Z54:AO54,1,MATCH(AO$63-$C76+1,$Z$41:AO$41)),0)</f>
        <v>72418</v>
      </c>
      <c r="AP76" s="26">
        <f>IF(AP$63&gt;=$C76,INDEX($Z54:AP54,1,MATCH(AP$63-$C76+1,$Z$41:AP$41)),0)</f>
        <v>0</v>
      </c>
      <c r="AQ76" s="26">
        <f>IF(AQ$63&gt;=$C76,INDEX($Z54:AQ54,1,MATCH(AQ$63-$C76+1,$Z$41:AQ$41)),0)</f>
        <v>0</v>
      </c>
      <c r="AR76" s="26">
        <f>IF(AR$63&gt;=$C76,INDEX($Z54:AR54,1,MATCH(AR$63-$C76+1,$Z$41:AR$41)),0)</f>
        <v>0</v>
      </c>
      <c r="AS76" s="26">
        <f>IF(AS$63&gt;=$C76,INDEX($Z54:AS54,1,MATCH(AS$63-$C76+1,$Z$41:AS$41)),0)</f>
        <v>0</v>
      </c>
    </row>
    <row r="77" spans="1:49" x14ac:dyDescent="0.35">
      <c r="A77" s="7" t="str">
        <v>Access session border controller - hardware</v>
      </c>
      <c r="C77" s="9">
        <v>8</v>
      </c>
      <c r="D77" s="73">
        <v>0</v>
      </c>
      <c r="E77" s="26">
        <f>IF(E$63&gt;=$C77,INDEX($D55:E55,1,MATCH(E$63-$C77+1,$D$41:E$41)),0)</f>
        <v>0</v>
      </c>
      <c r="F77" s="26">
        <f>IF(F$63&gt;=$C77,INDEX($D55:F55,1,MATCH(F$63-$C77+1,$D$41:F$41)),0)</f>
        <v>0</v>
      </c>
      <c r="G77" s="26">
        <f>IF(G$63&gt;=$C77,INDEX($D55:G55,1,MATCH(G$63-$C77+1,$D$41:G$41)),0)</f>
        <v>0</v>
      </c>
      <c r="H77" s="26">
        <f>IF(H$63&gt;=$C77,INDEX($D55:H55,1,MATCH(H$63-$C77+1,$D$41:H$41)),0)</f>
        <v>0</v>
      </c>
      <c r="I77" s="26">
        <f>IF(I$63&gt;=$C77,INDEX($D55:I55,1,MATCH(I$63-$C77+1,$D$41:I$41)),0)</f>
        <v>0</v>
      </c>
      <c r="J77" s="26">
        <f>IF(J$63&gt;=$C77,INDEX($D55:J55,1,MATCH(J$63-$C77+1,$D$41:J$41)),0)</f>
        <v>0</v>
      </c>
      <c r="K77" s="26">
        <f>IF(K$63&gt;=$C77,INDEX($D55:K55,1,MATCH(K$63-$C77+1,$D$41:K$41)),0)</f>
        <v>6</v>
      </c>
      <c r="L77" s="26">
        <f>IF(L$63&gt;=$C77,INDEX($D55:L55,1,MATCH(L$63-$C77+1,$D$41:L$41)),0)</f>
        <v>0</v>
      </c>
      <c r="M77" s="26">
        <f>IF(M$63&gt;=$C77,INDEX($D55:M55,1,MATCH(M$63-$C77+1,$D$41:M$41)),0)</f>
        <v>0</v>
      </c>
      <c r="N77" s="26">
        <f>IF(N$63&gt;=$C77,INDEX($D55:N55,1,MATCH(N$63-$C77+1,$D$41:N$41)),0)</f>
        <v>0</v>
      </c>
      <c r="O77" s="26">
        <f>IF(O$63&gt;=$C77,INDEX($D55:O55,1,MATCH(O$63-$C77+1,$D$41:O$41)),0)</f>
        <v>0</v>
      </c>
      <c r="P77" s="26">
        <f>IF(P$63&gt;=$C77,INDEX($D55:P55,1,MATCH(P$63-$C77+1,$D$41:P$41)),0)</f>
        <v>0</v>
      </c>
      <c r="Q77" s="26">
        <f>IF(Q$63&gt;=$C77,INDEX($D55:Q55,1,MATCH(Q$63-$C77+1,$D$41:Q$41)),0)</f>
        <v>0</v>
      </c>
      <c r="R77" s="26">
        <f>IF(R$63&gt;=$C77,INDEX($D55:R55,1,MATCH(R$63-$C77+1,$D$41:R$41)),0)</f>
        <v>0</v>
      </c>
      <c r="S77" s="26">
        <f>IF(S$63&gt;=$C77,INDEX($D55:S55,1,MATCH(S$63-$C77+1,$D$41:S$41)),0)</f>
        <v>4</v>
      </c>
      <c r="T77" s="26">
        <f>IF(T$63&gt;=$C77,INDEX($D55:T55,1,MATCH(T$63-$C77+1,$D$41:T$41)),0)</f>
        <v>0</v>
      </c>
      <c r="U77" s="26">
        <f>IF(U$63&gt;=$C77,INDEX($D55:U55,1,MATCH(U$63-$C77+1,$D$41:U$41)),0)</f>
        <v>0</v>
      </c>
      <c r="V77" s="26">
        <f>IF(V$63&gt;=$C77,INDEX($D55:V55,1,MATCH(V$63-$C77+1,$D$41:V$41)),0)</f>
        <v>0</v>
      </c>
      <c r="W77" s="26">
        <f>IF(W$63&gt;=$C77,INDEX($D55:W55,1,MATCH(W$63-$C77+1,$D$41:W$41)),0)</f>
        <v>0</v>
      </c>
      <c r="Z77" s="26">
        <v>0</v>
      </c>
      <c r="AA77" s="26">
        <f>IF(AA$63&gt;=$C77,INDEX($Z55:AA55,1,MATCH(AA$63-$C77+1,$Z$41:AA$41)),0)</f>
        <v>0</v>
      </c>
      <c r="AB77" s="26">
        <f>IF(AB$63&gt;=$C77,INDEX($Z55:AB55,1,MATCH(AB$63-$C77+1,$Z$41:AB$41)),0)</f>
        <v>0</v>
      </c>
      <c r="AC77" s="26">
        <f>IF(AC$63&gt;=$C77,INDEX($Z55:AC55,1,MATCH(AC$63-$C77+1,$Z$41:AC$41)),0)</f>
        <v>0</v>
      </c>
      <c r="AD77" s="26">
        <f>IF(AD$63&gt;=$C77,INDEX($Z55:AD55,1,MATCH(AD$63-$C77+1,$Z$41:AD$41)),0)</f>
        <v>0</v>
      </c>
      <c r="AE77" s="26">
        <f>IF(AE$63&gt;=$C77,INDEX($Z55:AE55,1,MATCH(AE$63-$C77+1,$Z$41:AE$41)),0)</f>
        <v>0</v>
      </c>
      <c r="AF77" s="26">
        <f>IF(AF$63&gt;=$C77,INDEX($Z55:AF55,1,MATCH(AF$63-$C77+1,$Z$41:AF$41)),0)</f>
        <v>0</v>
      </c>
      <c r="AG77" s="26">
        <f>IF(AG$63&gt;=$C77,INDEX($Z55:AG55,1,MATCH(AG$63-$C77+1,$Z$41:AG$41)),0)</f>
        <v>4</v>
      </c>
      <c r="AH77" s="26">
        <f>IF(AH$63&gt;=$C77,INDEX($Z55:AH55,1,MATCH(AH$63-$C77+1,$Z$41:AH$41)),0)</f>
        <v>0</v>
      </c>
      <c r="AI77" s="26">
        <f>IF(AI$63&gt;=$C77,INDEX($Z55:AI55,1,MATCH(AI$63-$C77+1,$Z$41:AI$41)),0)</f>
        <v>0</v>
      </c>
      <c r="AJ77" s="26">
        <f>IF(AJ$63&gt;=$C77,INDEX($Z55:AJ55,1,MATCH(AJ$63-$C77+1,$Z$41:AJ$41)),0)</f>
        <v>0</v>
      </c>
      <c r="AK77" s="26">
        <f>IF(AK$63&gt;=$C77,INDEX($Z55:AK55,1,MATCH(AK$63-$C77+1,$Z$41:AK$41)),0)</f>
        <v>0</v>
      </c>
      <c r="AL77" s="26">
        <f>IF(AL$63&gt;=$C77,INDEX($Z55:AL55,1,MATCH(AL$63-$C77+1,$Z$41:AL$41)),0)</f>
        <v>0</v>
      </c>
      <c r="AM77" s="26">
        <f>IF(AM$63&gt;=$C77,INDEX($Z55:AM55,1,MATCH(AM$63-$C77+1,$Z$41:AM$41)),0)</f>
        <v>0</v>
      </c>
      <c r="AN77" s="26">
        <f>IF(AN$63&gt;=$C77,INDEX($Z55:AN55,1,MATCH(AN$63-$C77+1,$Z$41:AN$41)),0)</f>
        <v>0</v>
      </c>
      <c r="AO77" s="26">
        <f>IF(AO$63&gt;=$C77,INDEX($Z55:AO55,1,MATCH(AO$63-$C77+1,$Z$41:AO$41)),0)</f>
        <v>4</v>
      </c>
      <c r="AP77" s="26">
        <f>IF(AP$63&gt;=$C77,INDEX($Z55:AP55,1,MATCH(AP$63-$C77+1,$Z$41:AP$41)),0)</f>
        <v>0</v>
      </c>
      <c r="AQ77" s="26">
        <f>IF(AQ$63&gt;=$C77,INDEX($Z55:AQ55,1,MATCH(AQ$63-$C77+1,$Z$41:AQ$41)),0)</f>
        <v>0</v>
      </c>
      <c r="AR77" s="26">
        <f>IF(AR$63&gt;=$C77,INDEX($Z55:AR55,1,MATCH(AR$63-$C77+1,$Z$41:AR$41)),0)</f>
        <v>0</v>
      </c>
      <c r="AS77" s="26">
        <f>IF(AS$63&gt;=$C77,INDEX($Z55:AS55,1,MATCH(AS$63-$C77+1,$Z$41:AS$41)),0)</f>
        <v>0</v>
      </c>
    </row>
    <row r="78" spans="1:49" x14ac:dyDescent="0.35">
      <c r="A78" s="7" t="str">
        <v>Access session border controller - software</v>
      </c>
      <c r="C78" s="9">
        <v>8</v>
      </c>
      <c r="D78" s="73">
        <v>0</v>
      </c>
      <c r="E78" s="26">
        <f>IF(E$63&gt;=$C78,INDEX($D56:E56,1,MATCH(E$63-$C78+1,$D$41:E$41)),0)</f>
        <v>0</v>
      </c>
      <c r="F78" s="26">
        <f>IF(F$63&gt;=$C78,INDEX($D56:F56,1,MATCH(F$63-$C78+1,$D$41:F$41)),0)</f>
        <v>0</v>
      </c>
      <c r="G78" s="26">
        <f>IF(G$63&gt;=$C78,INDEX($D56:G56,1,MATCH(G$63-$C78+1,$D$41:G$41)),0)</f>
        <v>0</v>
      </c>
      <c r="H78" s="26">
        <f>IF(H$63&gt;=$C78,INDEX($D56:H56,1,MATCH(H$63-$C78+1,$D$41:H$41)),0)</f>
        <v>0</v>
      </c>
      <c r="I78" s="26">
        <f>IF(I$63&gt;=$C78,INDEX($D56:I56,1,MATCH(I$63-$C78+1,$D$41:I$41)),0)</f>
        <v>0</v>
      </c>
      <c r="J78" s="26">
        <f>IF(J$63&gt;=$C78,INDEX($D56:J56,1,MATCH(J$63-$C78+1,$D$41:J$41)),0)</f>
        <v>0</v>
      </c>
      <c r="K78" s="26">
        <f>IF(K$63&gt;=$C78,INDEX($D56:K56,1,MATCH(K$63-$C78+1,$D$41:K$41)),0)</f>
        <v>10</v>
      </c>
      <c r="L78" s="26">
        <f>IF(L$63&gt;=$C78,INDEX($D56:L56,1,MATCH(L$63-$C78+1,$D$41:L$41)),0)</f>
        <v>0</v>
      </c>
      <c r="M78" s="26">
        <f>IF(M$63&gt;=$C78,INDEX($D56:M56,1,MATCH(M$63-$C78+1,$D$41:M$41)),0)</f>
        <v>0</v>
      </c>
      <c r="N78" s="26">
        <f>IF(N$63&gt;=$C78,INDEX($D56:N56,1,MATCH(N$63-$C78+1,$D$41:N$41)),0)</f>
        <v>0</v>
      </c>
      <c r="O78" s="26">
        <f>IF(O$63&gt;=$C78,INDEX($D56:O56,1,MATCH(O$63-$C78+1,$D$41:O$41)),0)</f>
        <v>0</v>
      </c>
      <c r="P78" s="26">
        <f>IF(P$63&gt;=$C78,INDEX($D56:P56,1,MATCH(P$63-$C78+1,$D$41:P$41)),0)</f>
        <v>0</v>
      </c>
      <c r="Q78" s="26">
        <f>IF(Q$63&gt;=$C78,INDEX($D56:Q56,1,MATCH(Q$63-$C78+1,$D$41:Q$41)),0)</f>
        <v>0</v>
      </c>
      <c r="R78" s="26">
        <f>IF(R$63&gt;=$C78,INDEX($D56:R56,1,MATCH(R$63-$C78+1,$D$41:R$41)),0)</f>
        <v>0</v>
      </c>
      <c r="S78" s="26">
        <f>IF(S$63&gt;=$C78,INDEX($D56:S56,1,MATCH(S$63-$C78+1,$D$41:S$41)),0)</f>
        <v>8</v>
      </c>
      <c r="T78" s="26">
        <f>IF(T$63&gt;=$C78,INDEX($D56:T56,1,MATCH(T$63-$C78+1,$D$41:T$41)),0)</f>
        <v>0</v>
      </c>
      <c r="U78" s="26">
        <f>IF(U$63&gt;=$C78,INDEX($D56:U56,1,MATCH(U$63-$C78+1,$D$41:U$41)),0)</f>
        <v>0</v>
      </c>
      <c r="V78" s="26">
        <f>IF(V$63&gt;=$C78,INDEX($D56:V56,1,MATCH(V$63-$C78+1,$D$41:V$41)),0)</f>
        <v>0</v>
      </c>
      <c r="W78" s="26">
        <f>IF(W$63&gt;=$C78,INDEX($D56:W56,1,MATCH(W$63-$C78+1,$D$41:W$41)),0)</f>
        <v>0</v>
      </c>
      <c r="Z78" s="26">
        <v>0</v>
      </c>
      <c r="AA78" s="26">
        <f>IF(AA$63&gt;=$C78,INDEX($Z56:AA56,1,MATCH(AA$63-$C78+1,$Z$41:AA$41)),0)</f>
        <v>0</v>
      </c>
      <c r="AB78" s="26">
        <f>IF(AB$63&gt;=$C78,INDEX($Z56:AB56,1,MATCH(AB$63-$C78+1,$Z$41:AB$41)),0)</f>
        <v>0</v>
      </c>
      <c r="AC78" s="26">
        <f>IF(AC$63&gt;=$C78,INDEX($Z56:AC56,1,MATCH(AC$63-$C78+1,$Z$41:AC$41)),0)</f>
        <v>0</v>
      </c>
      <c r="AD78" s="26">
        <f>IF(AD$63&gt;=$C78,INDEX($Z56:AD56,1,MATCH(AD$63-$C78+1,$Z$41:AD$41)),0)</f>
        <v>0</v>
      </c>
      <c r="AE78" s="26">
        <f>IF(AE$63&gt;=$C78,INDEX($Z56:AE56,1,MATCH(AE$63-$C78+1,$Z$41:AE$41)),0)</f>
        <v>0</v>
      </c>
      <c r="AF78" s="26">
        <f>IF(AF$63&gt;=$C78,INDEX($Z56:AF56,1,MATCH(AF$63-$C78+1,$Z$41:AF$41)),0)</f>
        <v>0</v>
      </c>
      <c r="AG78" s="26">
        <f>IF(AG$63&gt;=$C78,INDEX($Z56:AG56,1,MATCH(AG$63-$C78+1,$Z$41:AG$41)),0)</f>
        <v>8</v>
      </c>
      <c r="AH78" s="26">
        <f>IF(AH$63&gt;=$C78,INDEX($Z56:AH56,1,MATCH(AH$63-$C78+1,$Z$41:AH$41)),0)</f>
        <v>0</v>
      </c>
      <c r="AI78" s="26">
        <f>IF(AI$63&gt;=$C78,INDEX($Z56:AI56,1,MATCH(AI$63-$C78+1,$Z$41:AI$41)),0)</f>
        <v>0</v>
      </c>
      <c r="AJ78" s="26">
        <f>IF(AJ$63&gt;=$C78,INDEX($Z56:AJ56,1,MATCH(AJ$63-$C78+1,$Z$41:AJ$41)),0)</f>
        <v>0</v>
      </c>
      <c r="AK78" s="26">
        <f>IF(AK$63&gt;=$C78,INDEX($Z56:AK56,1,MATCH(AK$63-$C78+1,$Z$41:AK$41)),0)</f>
        <v>0</v>
      </c>
      <c r="AL78" s="26">
        <f>IF(AL$63&gt;=$C78,INDEX($Z56:AL56,1,MATCH(AL$63-$C78+1,$Z$41:AL$41)),0)</f>
        <v>0</v>
      </c>
      <c r="AM78" s="26">
        <f>IF(AM$63&gt;=$C78,INDEX($Z56:AM56,1,MATCH(AM$63-$C78+1,$Z$41:AM$41)),0)</f>
        <v>0</v>
      </c>
      <c r="AN78" s="26">
        <f>IF(AN$63&gt;=$C78,INDEX($Z56:AN56,1,MATCH(AN$63-$C78+1,$Z$41:AN$41)),0)</f>
        <v>0</v>
      </c>
      <c r="AO78" s="26">
        <f>IF(AO$63&gt;=$C78,INDEX($Z56:AO56,1,MATCH(AO$63-$C78+1,$Z$41:AO$41)),0)</f>
        <v>6</v>
      </c>
      <c r="AP78" s="26">
        <f>IF(AP$63&gt;=$C78,INDEX($Z56:AP56,1,MATCH(AP$63-$C78+1,$Z$41:AP$41)),0)</f>
        <v>0</v>
      </c>
      <c r="AQ78" s="26">
        <f>IF(AQ$63&gt;=$C78,INDEX($Z56:AQ56,1,MATCH(AQ$63-$C78+1,$Z$41:AQ$41)),0)</f>
        <v>0</v>
      </c>
      <c r="AR78" s="26">
        <f>IF(AR$63&gt;=$C78,INDEX($Z56:AR56,1,MATCH(AR$63-$C78+1,$Z$41:AR$41)),0)</f>
        <v>0</v>
      </c>
      <c r="AS78" s="26">
        <f>IF(AS$63&gt;=$C78,INDEX($Z56:AS56,1,MATCH(AS$63-$C78+1,$Z$41:AS$41)),0)</f>
        <v>0</v>
      </c>
    </row>
    <row r="79" spans="1:49" x14ac:dyDescent="0.35">
      <c r="A79" s="7" t="str">
        <v>Internet exchange point session border controller - hardware</v>
      </c>
      <c r="C79" s="9">
        <v>8</v>
      </c>
      <c r="D79" s="73">
        <v>0</v>
      </c>
      <c r="E79" s="26">
        <f>IF(E$63&gt;=$C79,INDEX($D57:E57,1,MATCH(E$63-$C79+1,$D$41:E$41)),0)</f>
        <v>0</v>
      </c>
      <c r="F79" s="26">
        <f>IF(F$63&gt;=$C79,INDEX($D57:F57,1,MATCH(F$63-$C79+1,$D$41:F$41)),0)</f>
        <v>0</v>
      </c>
      <c r="G79" s="26">
        <f>IF(G$63&gt;=$C79,INDEX($D57:G57,1,MATCH(G$63-$C79+1,$D$41:G$41)),0)</f>
        <v>0</v>
      </c>
      <c r="H79" s="26">
        <f>IF(H$63&gt;=$C79,INDEX($D57:H57,1,MATCH(H$63-$C79+1,$D$41:H$41)),0)</f>
        <v>0</v>
      </c>
      <c r="I79" s="26">
        <f>IF(I$63&gt;=$C79,INDEX($D57:I57,1,MATCH(I$63-$C79+1,$D$41:I$41)),0)</f>
        <v>0</v>
      </c>
      <c r="J79" s="26">
        <f>IF(J$63&gt;=$C79,INDEX($D57:J57,1,MATCH(J$63-$C79+1,$D$41:J$41)),0)</f>
        <v>0</v>
      </c>
      <c r="K79" s="26">
        <f>IF(K$63&gt;=$C79,INDEX($D57:K57,1,MATCH(K$63-$C79+1,$D$41:K$41)),0)</f>
        <v>4</v>
      </c>
      <c r="L79" s="26">
        <f>IF(L$63&gt;=$C79,INDEX($D57:L57,1,MATCH(L$63-$C79+1,$D$41:L$41)),0)</f>
        <v>0</v>
      </c>
      <c r="M79" s="26">
        <f>IF(M$63&gt;=$C79,INDEX($D57:M57,1,MATCH(M$63-$C79+1,$D$41:M$41)),0)</f>
        <v>0</v>
      </c>
      <c r="N79" s="26">
        <f>IF(N$63&gt;=$C79,INDEX($D57:N57,1,MATCH(N$63-$C79+1,$D$41:N$41)),0)</f>
        <v>0</v>
      </c>
      <c r="O79" s="26">
        <f>IF(O$63&gt;=$C79,INDEX($D57:O57,1,MATCH(O$63-$C79+1,$D$41:O$41)),0)</f>
        <v>0</v>
      </c>
      <c r="P79" s="26">
        <f>IF(P$63&gt;=$C79,INDEX($D57:P57,1,MATCH(P$63-$C79+1,$D$41:P$41)),0)</f>
        <v>0</v>
      </c>
      <c r="Q79" s="26">
        <f>IF(Q$63&gt;=$C79,INDEX($D57:Q57,1,MATCH(Q$63-$C79+1,$D$41:Q$41)),0)</f>
        <v>0</v>
      </c>
      <c r="R79" s="26">
        <f>IF(R$63&gt;=$C79,INDEX($D57:R57,1,MATCH(R$63-$C79+1,$D$41:R$41)),0)</f>
        <v>0</v>
      </c>
      <c r="S79" s="26">
        <f>IF(S$63&gt;=$C79,INDEX($D57:S57,1,MATCH(S$63-$C79+1,$D$41:S$41)),0)</f>
        <v>4</v>
      </c>
      <c r="T79" s="26">
        <f>IF(T$63&gt;=$C79,INDEX($D57:T57,1,MATCH(T$63-$C79+1,$D$41:T$41)),0)</f>
        <v>0</v>
      </c>
      <c r="U79" s="26">
        <f>IF(U$63&gt;=$C79,INDEX($D57:U57,1,MATCH(U$63-$C79+1,$D$41:U$41)),0)</f>
        <v>0</v>
      </c>
      <c r="V79" s="26">
        <f>IF(V$63&gt;=$C79,INDEX($D57:V57,1,MATCH(V$63-$C79+1,$D$41:V$41)),0)</f>
        <v>0</v>
      </c>
      <c r="W79" s="26">
        <f>IF(W$63&gt;=$C79,INDEX($D57:W57,1,MATCH(W$63-$C79+1,$D$41:W$41)),0)</f>
        <v>0</v>
      </c>
      <c r="Z79" s="26">
        <v>0</v>
      </c>
      <c r="AA79" s="26">
        <f>IF(AA$63&gt;=$C79,INDEX($Z57:AA57,1,MATCH(AA$63-$C79+1,$Z$41:AA$41)),0)</f>
        <v>0</v>
      </c>
      <c r="AB79" s="26">
        <f>IF(AB$63&gt;=$C79,INDEX($Z57:AB57,1,MATCH(AB$63-$C79+1,$Z$41:AB$41)),0)</f>
        <v>0</v>
      </c>
      <c r="AC79" s="26">
        <f>IF(AC$63&gt;=$C79,INDEX($Z57:AC57,1,MATCH(AC$63-$C79+1,$Z$41:AC$41)),0)</f>
        <v>0</v>
      </c>
      <c r="AD79" s="26">
        <f>IF(AD$63&gt;=$C79,INDEX($Z57:AD57,1,MATCH(AD$63-$C79+1,$Z$41:AD$41)),0)</f>
        <v>0</v>
      </c>
      <c r="AE79" s="26">
        <f>IF(AE$63&gt;=$C79,INDEX($Z57:AE57,1,MATCH(AE$63-$C79+1,$Z$41:AE$41)),0)</f>
        <v>0</v>
      </c>
      <c r="AF79" s="26">
        <f>IF(AF$63&gt;=$C79,INDEX($Z57:AF57,1,MATCH(AF$63-$C79+1,$Z$41:AF$41)),0)</f>
        <v>0</v>
      </c>
      <c r="AG79" s="26">
        <f>IF(AG$63&gt;=$C79,INDEX($Z57:AG57,1,MATCH(AG$63-$C79+1,$Z$41:AG$41)),0)</f>
        <v>4</v>
      </c>
      <c r="AH79" s="26">
        <f>IF(AH$63&gt;=$C79,INDEX($Z57:AH57,1,MATCH(AH$63-$C79+1,$Z$41:AH$41)),0)</f>
        <v>0</v>
      </c>
      <c r="AI79" s="26">
        <f>IF(AI$63&gt;=$C79,INDEX($Z57:AI57,1,MATCH(AI$63-$C79+1,$Z$41:AI$41)),0)</f>
        <v>0</v>
      </c>
      <c r="AJ79" s="26">
        <f>IF(AJ$63&gt;=$C79,INDEX($Z57:AJ57,1,MATCH(AJ$63-$C79+1,$Z$41:AJ$41)),0)</f>
        <v>0</v>
      </c>
      <c r="AK79" s="26">
        <f>IF(AK$63&gt;=$C79,INDEX($Z57:AK57,1,MATCH(AK$63-$C79+1,$Z$41:AK$41)),0)</f>
        <v>0</v>
      </c>
      <c r="AL79" s="26">
        <f>IF(AL$63&gt;=$C79,INDEX($Z57:AL57,1,MATCH(AL$63-$C79+1,$Z$41:AL$41)),0)</f>
        <v>0</v>
      </c>
      <c r="AM79" s="26">
        <f>IF(AM$63&gt;=$C79,INDEX($Z57:AM57,1,MATCH(AM$63-$C79+1,$Z$41:AM$41)),0)</f>
        <v>0</v>
      </c>
      <c r="AN79" s="26">
        <f>IF(AN$63&gt;=$C79,INDEX($Z57:AN57,1,MATCH(AN$63-$C79+1,$Z$41:AN$41)),0)</f>
        <v>0</v>
      </c>
      <c r="AO79" s="26">
        <f>IF(AO$63&gt;=$C79,INDEX($Z57:AO57,1,MATCH(AO$63-$C79+1,$Z$41:AO$41)),0)</f>
        <v>2</v>
      </c>
      <c r="AP79" s="26">
        <f>IF(AP$63&gt;=$C79,INDEX($Z57:AP57,1,MATCH(AP$63-$C79+1,$Z$41:AP$41)),0)</f>
        <v>0</v>
      </c>
      <c r="AQ79" s="26">
        <f>IF(AQ$63&gt;=$C79,INDEX($Z57:AQ57,1,MATCH(AQ$63-$C79+1,$Z$41:AQ$41)),0)</f>
        <v>0</v>
      </c>
      <c r="AR79" s="26">
        <f>IF(AR$63&gt;=$C79,INDEX($Z57:AR57,1,MATCH(AR$63-$C79+1,$Z$41:AR$41)),0)</f>
        <v>0</v>
      </c>
      <c r="AS79" s="26">
        <f>IF(AS$63&gt;=$C79,INDEX($Z57:AS57,1,MATCH(AS$63-$C79+1,$Z$41:AS$41)),0)</f>
        <v>0</v>
      </c>
    </row>
    <row r="80" spans="1:49" x14ac:dyDescent="0.35">
      <c r="A80" s="7" t="str">
        <v>Internet exchange point session border controller - software</v>
      </c>
      <c r="C80" s="9">
        <v>8</v>
      </c>
      <c r="D80" s="73">
        <v>0</v>
      </c>
      <c r="E80" s="26">
        <f>IF(E$63&gt;=$C80,INDEX($D58:E58,1,MATCH(E$63-$C80+1,$D$41:E$41)),0)</f>
        <v>0</v>
      </c>
      <c r="F80" s="26">
        <f>IF(F$63&gt;=$C80,INDEX($D58:F58,1,MATCH(F$63-$C80+1,$D$41:F$41)),0)</f>
        <v>0</v>
      </c>
      <c r="G80" s="26">
        <f>IF(G$63&gt;=$C80,INDEX($D58:G58,1,MATCH(G$63-$C80+1,$D$41:G$41)),0)</f>
        <v>0</v>
      </c>
      <c r="H80" s="26">
        <f>IF(H$63&gt;=$C80,INDEX($D58:H58,1,MATCH(H$63-$C80+1,$D$41:H$41)),0)</f>
        <v>0</v>
      </c>
      <c r="I80" s="26">
        <f>IF(I$63&gt;=$C80,INDEX($D58:I58,1,MATCH(I$63-$C80+1,$D$41:I$41)),0)</f>
        <v>0</v>
      </c>
      <c r="J80" s="26">
        <f>IF(J$63&gt;=$C80,INDEX($D58:J58,1,MATCH(J$63-$C80+1,$D$41:J$41)),0)</f>
        <v>0</v>
      </c>
      <c r="K80" s="26">
        <f>IF(K$63&gt;=$C80,INDEX($D58:K58,1,MATCH(K$63-$C80+1,$D$41:K$41)),0)</f>
        <v>8</v>
      </c>
      <c r="L80" s="26">
        <f>IF(L$63&gt;=$C80,INDEX($D58:L58,1,MATCH(L$63-$C80+1,$D$41:L$41)),0)</f>
        <v>0</v>
      </c>
      <c r="M80" s="26">
        <f>IF(M$63&gt;=$C80,INDEX($D58:M58,1,MATCH(M$63-$C80+1,$D$41:M$41)),0)</f>
        <v>0</v>
      </c>
      <c r="N80" s="26">
        <f>IF(N$63&gt;=$C80,INDEX($D58:N58,1,MATCH(N$63-$C80+1,$D$41:N$41)),0)</f>
        <v>0</v>
      </c>
      <c r="O80" s="26">
        <f>IF(O$63&gt;=$C80,INDEX($D58:O58,1,MATCH(O$63-$C80+1,$D$41:O$41)),0)</f>
        <v>0</v>
      </c>
      <c r="P80" s="26">
        <f>IF(P$63&gt;=$C80,INDEX($D58:P58,1,MATCH(P$63-$C80+1,$D$41:P$41)),0)</f>
        <v>0</v>
      </c>
      <c r="Q80" s="26">
        <f>IF(Q$63&gt;=$C80,INDEX($D58:Q58,1,MATCH(Q$63-$C80+1,$D$41:Q$41)),0)</f>
        <v>0</v>
      </c>
      <c r="R80" s="26">
        <f>IF(R$63&gt;=$C80,INDEX($D58:R58,1,MATCH(R$63-$C80+1,$D$41:R$41)),0)</f>
        <v>0</v>
      </c>
      <c r="S80" s="26">
        <f>IF(S$63&gt;=$C80,INDEX($D58:S58,1,MATCH(S$63-$C80+1,$D$41:S$41)),0)</f>
        <v>6</v>
      </c>
      <c r="T80" s="26">
        <f>IF(T$63&gt;=$C80,INDEX($D58:T58,1,MATCH(T$63-$C80+1,$D$41:T$41)),0)</f>
        <v>0</v>
      </c>
      <c r="U80" s="26">
        <f>IF(U$63&gt;=$C80,INDEX($D58:U58,1,MATCH(U$63-$C80+1,$D$41:U$41)),0)</f>
        <v>0</v>
      </c>
      <c r="V80" s="26">
        <f>IF(V$63&gt;=$C80,INDEX($D58:V58,1,MATCH(V$63-$C80+1,$D$41:V$41)),0)</f>
        <v>0</v>
      </c>
      <c r="W80" s="26">
        <f>IF(W$63&gt;=$C80,INDEX($D58:W58,1,MATCH(W$63-$C80+1,$D$41:W$41)),0)</f>
        <v>0</v>
      </c>
      <c r="X80" s="15"/>
      <c r="Z80" s="26">
        <v>0</v>
      </c>
      <c r="AA80" s="26">
        <f>IF(AA$63&gt;=$C80,INDEX($Z58:AA58,1,MATCH(AA$63-$C80+1,$Z$41:AA$41)),0)</f>
        <v>0</v>
      </c>
      <c r="AB80" s="26">
        <f>IF(AB$63&gt;=$C80,INDEX($Z58:AB58,1,MATCH(AB$63-$C80+1,$Z$41:AB$41)),0)</f>
        <v>0</v>
      </c>
      <c r="AC80" s="26">
        <f>IF(AC$63&gt;=$C80,INDEX($Z58:AC58,1,MATCH(AC$63-$C80+1,$Z$41:AC$41)),0)</f>
        <v>0</v>
      </c>
      <c r="AD80" s="26">
        <f>IF(AD$63&gt;=$C80,INDEX($Z58:AD58,1,MATCH(AD$63-$C80+1,$Z$41:AD$41)),0)</f>
        <v>0</v>
      </c>
      <c r="AE80" s="26">
        <f>IF(AE$63&gt;=$C80,INDEX($Z58:AE58,1,MATCH(AE$63-$C80+1,$Z$41:AE$41)),0)</f>
        <v>0</v>
      </c>
      <c r="AF80" s="26">
        <f>IF(AF$63&gt;=$C80,INDEX($Z58:AF58,1,MATCH(AF$63-$C80+1,$Z$41:AF$41)),0)</f>
        <v>0</v>
      </c>
      <c r="AG80" s="26">
        <f>IF(AG$63&gt;=$C80,INDEX($Z58:AG58,1,MATCH(AG$63-$C80+1,$Z$41:AG$41)),0)</f>
        <v>6</v>
      </c>
      <c r="AH80" s="26">
        <f>IF(AH$63&gt;=$C80,INDEX($Z58:AH58,1,MATCH(AH$63-$C80+1,$Z$41:AH$41)),0)</f>
        <v>0</v>
      </c>
      <c r="AI80" s="26">
        <f>IF(AI$63&gt;=$C80,INDEX($Z58:AI58,1,MATCH(AI$63-$C80+1,$Z$41:AI$41)),0)</f>
        <v>0</v>
      </c>
      <c r="AJ80" s="26">
        <f>IF(AJ$63&gt;=$C80,INDEX($Z58:AJ58,1,MATCH(AJ$63-$C80+1,$Z$41:AJ$41)),0)</f>
        <v>0</v>
      </c>
      <c r="AK80" s="26">
        <f>IF(AK$63&gt;=$C80,INDEX($Z58:AK58,1,MATCH(AK$63-$C80+1,$Z$41:AK$41)),0)</f>
        <v>0</v>
      </c>
      <c r="AL80" s="26">
        <f>IF(AL$63&gt;=$C80,INDEX($Z58:AL58,1,MATCH(AL$63-$C80+1,$Z$41:AL$41)),0)</f>
        <v>0</v>
      </c>
      <c r="AM80" s="26">
        <f>IF(AM$63&gt;=$C80,INDEX($Z58:AM58,1,MATCH(AM$63-$C80+1,$Z$41:AM$41)),0)</f>
        <v>0</v>
      </c>
      <c r="AN80" s="26">
        <f>IF(AN$63&gt;=$C80,INDEX($Z58:AN58,1,MATCH(AN$63-$C80+1,$Z$41:AN$41)),0)</f>
        <v>0</v>
      </c>
      <c r="AO80" s="26">
        <f>IF(AO$63&gt;=$C80,INDEX($Z58:AO58,1,MATCH(AO$63-$C80+1,$Z$41:AO$41)),0)</f>
        <v>4</v>
      </c>
      <c r="AP80" s="26">
        <f>IF(AP$63&gt;=$C80,INDEX($Z58:AP58,1,MATCH(AP$63-$C80+1,$Z$41:AP$41)),0)</f>
        <v>0</v>
      </c>
      <c r="AQ80" s="26">
        <f>IF(AQ$63&gt;=$C80,INDEX($Z58:AQ58,1,MATCH(AQ$63-$C80+1,$Z$41:AQ$41)),0)</f>
        <v>0</v>
      </c>
      <c r="AR80" s="26">
        <f>IF(AR$63&gt;=$C80,INDEX($Z58:AR58,1,MATCH(AR$63-$C80+1,$Z$41:AR$41)),0)</f>
        <v>0</v>
      </c>
      <c r="AS80" s="26">
        <f>IF(AS$63&gt;=$C80,INDEX($Z58:AS58,1,MATCH(AS$63-$C80+1,$Z$41:AS$41)),0)</f>
        <v>0</v>
      </c>
      <c r="AT80" s="15"/>
      <c r="AW80" s="114"/>
    </row>
    <row r="82" spans="1:45" x14ac:dyDescent="0.35">
      <c r="A82" s="29" t="s">
        <v>364</v>
      </c>
    </row>
    <row r="83" spans="1:45" x14ac:dyDescent="0.35">
      <c r="A83" s="21"/>
    </row>
    <row r="84" spans="1:45" x14ac:dyDescent="0.35">
      <c r="A84" s="12" t="s">
        <v>369</v>
      </c>
    </row>
    <row r="85" spans="1:45" x14ac:dyDescent="0.35">
      <c r="A85"/>
    </row>
    <row r="86" spans="1:45" ht="29" x14ac:dyDescent="0.35">
      <c r="A86" s="129"/>
      <c r="C86" s="56" t="s">
        <v>152</v>
      </c>
      <c r="D86" s="52" cm="1">
        <f t="array" ref="D86:W86">years</f>
        <v>2018</v>
      </c>
      <c r="E86" s="52">
        <v>2019</v>
      </c>
      <c r="F86" s="52">
        <v>2020</v>
      </c>
      <c r="G86" s="52">
        <v>2021</v>
      </c>
      <c r="H86" s="52">
        <v>2022</v>
      </c>
      <c r="I86" s="52">
        <v>2023</v>
      </c>
      <c r="J86" s="52">
        <v>2024</v>
      </c>
      <c r="K86" s="52">
        <v>2025</v>
      </c>
      <c r="L86" s="52">
        <v>2026</v>
      </c>
      <c r="M86" s="52">
        <v>2027</v>
      </c>
      <c r="N86" s="52">
        <v>2028</v>
      </c>
      <c r="O86" s="52">
        <v>2029</v>
      </c>
      <c r="P86" s="52">
        <v>2030</v>
      </c>
      <c r="Q86" s="52">
        <v>2031</v>
      </c>
      <c r="R86" s="52">
        <v>2032</v>
      </c>
      <c r="S86" s="52">
        <v>2033</v>
      </c>
      <c r="T86" s="52">
        <v>2034</v>
      </c>
      <c r="U86" s="52">
        <v>2035</v>
      </c>
      <c r="V86" s="52">
        <v>2036</v>
      </c>
      <c r="W86" s="52">
        <v>2037</v>
      </c>
      <c r="Z86" s="229" cm="1">
        <f t="array" ref="Z86:AS86">years</f>
        <v>2018</v>
      </c>
      <c r="AA86" s="53">
        <v>2019</v>
      </c>
      <c r="AB86" s="52">
        <v>2020</v>
      </c>
      <c r="AC86" s="52">
        <v>2021</v>
      </c>
      <c r="AD86" s="52">
        <v>2022</v>
      </c>
      <c r="AE86" s="52">
        <v>2023</v>
      </c>
      <c r="AF86" s="52">
        <v>2024</v>
      </c>
      <c r="AG86" s="52">
        <v>2025</v>
      </c>
      <c r="AH86" s="52">
        <v>2026</v>
      </c>
      <c r="AI86" s="52">
        <v>2027</v>
      </c>
      <c r="AJ86" s="52">
        <v>2028</v>
      </c>
      <c r="AK86" s="52">
        <v>2029</v>
      </c>
      <c r="AL86" s="52">
        <v>2030</v>
      </c>
      <c r="AM86" s="52">
        <v>2031</v>
      </c>
      <c r="AN86" s="52">
        <v>2032</v>
      </c>
      <c r="AO86" s="52">
        <v>2033</v>
      </c>
      <c r="AP86" s="52">
        <v>2034</v>
      </c>
      <c r="AQ86" s="52">
        <v>2035</v>
      </c>
      <c r="AR86" s="52">
        <v>2036</v>
      </c>
      <c r="AS86" s="52">
        <v>2037</v>
      </c>
    </row>
    <row r="87" spans="1:45" x14ac:dyDescent="0.35">
      <c r="A87" s="7" t="str" cm="1">
        <f t="array" ref="A87:A102">core_elements</f>
        <v>Application server hardware</v>
      </c>
      <c r="C87" s="9">
        <v>8</v>
      </c>
      <c r="D87" s="26">
        <f>D43</f>
        <v>2</v>
      </c>
      <c r="E87" s="26">
        <f t="shared" ref="E87:W87" si="55">D87+E43-E65</f>
        <v>2</v>
      </c>
      <c r="F87" s="26">
        <f t="shared" si="55"/>
        <v>2</v>
      </c>
      <c r="G87" s="26">
        <f t="shared" si="55"/>
        <v>2</v>
      </c>
      <c r="H87" s="26">
        <f t="shared" si="55"/>
        <v>2</v>
      </c>
      <c r="I87" s="26">
        <f t="shared" si="55"/>
        <v>2</v>
      </c>
      <c r="J87" s="26">
        <f t="shared" si="55"/>
        <v>2</v>
      </c>
      <c r="K87" s="26">
        <f t="shared" si="55"/>
        <v>0</v>
      </c>
      <c r="L87" s="26">
        <f t="shared" si="55"/>
        <v>2</v>
      </c>
      <c r="M87" s="26">
        <f t="shared" si="55"/>
        <v>2</v>
      </c>
      <c r="N87" s="26">
        <f t="shared" si="55"/>
        <v>2</v>
      </c>
      <c r="O87" s="26">
        <f t="shared" si="55"/>
        <v>2</v>
      </c>
      <c r="P87" s="26">
        <f t="shared" si="55"/>
        <v>2</v>
      </c>
      <c r="Q87" s="26">
        <f t="shared" si="55"/>
        <v>2</v>
      </c>
      <c r="R87" s="26">
        <f t="shared" si="55"/>
        <v>2</v>
      </c>
      <c r="S87" s="26">
        <f t="shared" si="55"/>
        <v>0</v>
      </c>
      <c r="T87" s="26">
        <f t="shared" si="55"/>
        <v>2</v>
      </c>
      <c r="U87" s="26">
        <f t="shared" si="55"/>
        <v>2</v>
      </c>
      <c r="V87" s="26">
        <f t="shared" si="55"/>
        <v>2</v>
      </c>
      <c r="W87" s="26">
        <f t="shared" si="55"/>
        <v>2</v>
      </c>
      <c r="Z87" s="26">
        <f>Z43</f>
        <v>2</v>
      </c>
      <c r="AA87" s="26">
        <f t="shared" ref="AA87:AS87" si="56">Z87+AA43-AA65</f>
        <v>2</v>
      </c>
      <c r="AB87" s="26">
        <f t="shared" si="56"/>
        <v>2</v>
      </c>
      <c r="AC87" s="26">
        <f t="shared" si="56"/>
        <v>2</v>
      </c>
      <c r="AD87" s="26">
        <f t="shared" si="56"/>
        <v>2</v>
      </c>
      <c r="AE87" s="26">
        <f t="shared" si="56"/>
        <v>2</v>
      </c>
      <c r="AF87" s="26">
        <f t="shared" si="56"/>
        <v>2</v>
      </c>
      <c r="AG87" s="26">
        <f t="shared" si="56"/>
        <v>0</v>
      </c>
      <c r="AH87" s="26">
        <f t="shared" si="56"/>
        <v>2</v>
      </c>
      <c r="AI87" s="26">
        <f t="shared" si="56"/>
        <v>2</v>
      </c>
      <c r="AJ87" s="26">
        <f t="shared" si="56"/>
        <v>2</v>
      </c>
      <c r="AK87" s="26">
        <f t="shared" si="56"/>
        <v>2</v>
      </c>
      <c r="AL87" s="26">
        <f t="shared" si="56"/>
        <v>2</v>
      </c>
      <c r="AM87" s="26">
        <f t="shared" si="56"/>
        <v>2</v>
      </c>
      <c r="AN87" s="26">
        <f t="shared" si="56"/>
        <v>2</v>
      </c>
      <c r="AO87" s="26">
        <f t="shared" si="56"/>
        <v>0</v>
      </c>
      <c r="AP87" s="26">
        <f t="shared" si="56"/>
        <v>2</v>
      </c>
      <c r="AQ87" s="26">
        <f t="shared" si="56"/>
        <v>2</v>
      </c>
      <c r="AR87" s="26">
        <f t="shared" si="56"/>
        <v>2</v>
      </c>
      <c r="AS87" s="26">
        <f t="shared" si="56"/>
        <v>2</v>
      </c>
    </row>
    <row r="88" spans="1:45" x14ac:dyDescent="0.35">
      <c r="A88" s="7" t="str">
        <v>Application server software</v>
      </c>
      <c r="C88" s="9">
        <v>8</v>
      </c>
      <c r="D88" s="26">
        <f t="shared" ref="D88:D102" si="57">D44</f>
        <v>2</v>
      </c>
      <c r="E88" s="26">
        <f t="shared" ref="E88:W88" si="58">D88+E44-E66</f>
        <v>2</v>
      </c>
      <c r="F88" s="26">
        <f t="shared" si="58"/>
        <v>2</v>
      </c>
      <c r="G88" s="26">
        <f t="shared" si="58"/>
        <v>2</v>
      </c>
      <c r="H88" s="26">
        <f t="shared" si="58"/>
        <v>2</v>
      </c>
      <c r="I88" s="26">
        <f t="shared" si="58"/>
        <v>2</v>
      </c>
      <c r="J88" s="26">
        <f t="shared" si="58"/>
        <v>2</v>
      </c>
      <c r="K88" s="26">
        <f t="shared" si="58"/>
        <v>0</v>
      </c>
      <c r="L88" s="26">
        <f t="shared" si="58"/>
        <v>2</v>
      </c>
      <c r="M88" s="26">
        <f t="shared" si="58"/>
        <v>2</v>
      </c>
      <c r="N88" s="26">
        <f t="shared" si="58"/>
        <v>2</v>
      </c>
      <c r="O88" s="26">
        <f t="shared" si="58"/>
        <v>2</v>
      </c>
      <c r="P88" s="26">
        <f t="shared" si="58"/>
        <v>2</v>
      </c>
      <c r="Q88" s="26">
        <f t="shared" si="58"/>
        <v>2</v>
      </c>
      <c r="R88" s="26">
        <f t="shared" si="58"/>
        <v>2</v>
      </c>
      <c r="S88" s="26">
        <f t="shared" si="58"/>
        <v>0</v>
      </c>
      <c r="T88" s="26">
        <f t="shared" si="58"/>
        <v>2</v>
      </c>
      <c r="U88" s="26">
        <f t="shared" si="58"/>
        <v>2</v>
      </c>
      <c r="V88" s="26">
        <f t="shared" si="58"/>
        <v>2</v>
      </c>
      <c r="W88" s="26">
        <f t="shared" si="58"/>
        <v>2</v>
      </c>
      <c r="Z88" s="26">
        <f t="shared" ref="Z88:Z102" si="59">Z44</f>
        <v>2</v>
      </c>
      <c r="AA88" s="26">
        <f t="shared" ref="AA88:AS88" si="60">Z88+AA44-AA66</f>
        <v>2</v>
      </c>
      <c r="AB88" s="26">
        <f t="shared" si="60"/>
        <v>2</v>
      </c>
      <c r="AC88" s="26">
        <f t="shared" si="60"/>
        <v>2</v>
      </c>
      <c r="AD88" s="26">
        <f t="shared" si="60"/>
        <v>2</v>
      </c>
      <c r="AE88" s="26">
        <f t="shared" si="60"/>
        <v>2</v>
      </c>
      <c r="AF88" s="26">
        <f t="shared" si="60"/>
        <v>2</v>
      </c>
      <c r="AG88" s="26">
        <f t="shared" si="60"/>
        <v>0</v>
      </c>
      <c r="AH88" s="26">
        <f t="shared" si="60"/>
        <v>2</v>
      </c>
      <c r="AI88" s="26">
        <f t="shared" si="60"/>
        <v>2</v>
      </c>
      <c r="AJ88" s="26">
        <f t="shared" si="60"/>
        <v>2</v>
      </c>
      <c r="AK88" s="26">
        <f t="shared" si="60"/>
        <v>2</v>
      </c>
      <c r="AL88" s="26">
        <f t="shared" si="60"/>
        <v>2</v>
      </c>
      <c r="AM88" s="26">
        <f t="shared" si="60"/>
        <v>2</v>
      </c>
      <c r="AN88" s="26">
        <f t="shared" si="60"/>
        <v>2</v>
      </c>
      <c r="AO88" s="26">
        <f t="shared" si="60"/>
        <v>0</v>
      </c>
      <c r="AP88" s="26">
        <f t="shared" si="60"/>
        <v>2</v>
      </c>
      <c r="AQ88" s="26">
        <f t="shared" si="60"/>
        <v>2</v>
      </c>
      <c r="AR88" s="26">
        <f t="shared" si="60"/>
        <v>2</v>
      </c>
      <c r="AS88" s="26">
        <f t="shared" si="60"/>
        <v>2</v>
      </c>
    </row>
    <row r="89" spans="1:45" x14ac:dyDescent="0.35">
      <c r="A89" s="7" t="str">
        <v>Charging data function hardware</v>
      </c>
      <c r="C89" s="9">
        <v>8</v>
      </c>
      <c r="D89" s="26">
        <f t="shared" si="57"/>
        <v>2</v>
      </c>
      <c r="E89" s="26">
        <f t="shared" ref="E89:W89" si="61">D89+E45-E67</f>
        <v>2</v>
      </c>
      <c r="F89" s="26">
        <f t="shared" si="61"/>
        <v>2</v>
      </c>
      <c r="G89" s="26">
        <f t="shared" si="61"/>
        <v>2</v>
      </c>
      <c r="H89" s="26">
        <f t="shared" si="61"/>
        <v>2</v>
      </c>
      <c r="I89" s="26">
        <f t="shared" si="61"/>
        <v>2</v>
      </c>
      <c r="J89" s="26">
        <f t="shared" si="61"/>
        <v>2</v>
      </c>
      <c r="K89" s="26">
        <f t="shared" si="61"/>
        <v>0</v>
      </c>
      <c r="L89" s="26">
        <f t="shared" si="61"/>
        <v>2</v>
      </c>
      <c r="M89" s="26">
        <f t="shared" si="61"/>
        <v>2</v>
      </c>
      <c r="N89" s="26">
        <f t="shared" si="61"/>
        <v>2</v>
      </c>
      <c r="O89" s="26">
        <f t="shared" si="61"/>
        <v>2</v>
      </c>
      <c r="P89" s="26">
        <f t="shared" si="61"/>
        <v>2</v>
      </c>
      <c r="Q89" s="26">
        <f t="shared" si="61"/>
        <v>2</v>
      </c>
      <c r="R89" s="26">
        <f t="shared" si="61"/>
        <v>2</v>
      </c>
      <c r="S89" s="26">
        <f t="shared" si="61"/>
        <v>0</v>
      </c>
      <c r="T89" s="26">
        <f t="shared" si="61"/>
        <v>2</v>
      </c>
      <c r="U89" s="26">
        <f t="shared" si="61"/>
        <v>2</v>
      </c>
      <c r="V89" s="26">
        <f t="shared" si="61"/>
        <v>2</v>
      </c>
      <c r="W89" s="26">
        <f t="shared" si="61"/>
        <v>2</v>
      </c>
      <c r="Z89" s="26">
        <f t="shared" si="59"/>
        <v>2</v>
      </c>
      <c r="AA89" s="26">
        <f t="shared" ref="AA89:AS89" si="62">Z89+AA45-AA67</f>
        <v>2</v>
      </c>
      <c r="AB89" s="26">
        <f t="shared" si="62"/>
        <v>2</v>
      </c>
      <c r="AC89" s="26">
        <f t="shared" si="62"/>
        <v>2</v>
      </c>
      <c r="AD89" s="26">
        <f t="shared" si="62"/>
        <v>2</v>
      </c>
      <c r="AE89" s="26">
        <f t="shared" si="62"/>
        <v>2</v>
      </c>
      <c r="AF89" s="26">
        <f t="shared" si="62"/>
        <v>2</v>
      </c>
      <c r="AG89" s="26">
        <f t="shared" si="62"/>
        <v>0</v>
      </c>
      <c r="AH89" s="26">
        <f t="shared" si="62"/>
        <v>2</v>
      </c>
      <c r="AI89" s="26">
        <f t="shared" si="62"/>
        <v>2</v>
      </c>
      <c r="AJ89" s="26">
        <f t="shared" si="62"/>
        <v>2</v>
      </c>
      <c r="AK89" s="26">
        <f t="shared" si="62"/>
        <v>2</v>
      </c>
      <c r="AL89" s="26">
        <f t="shared" si="62"/>
        <v>2</v>
      </c>
      <c r="AM89" s="26">
        <f t="shared" si="62"/>
        <v>2</v>
      </c>
      <c r="AN89" s="26">
        <f t="shared" si="62"/>
        <v>2</v>
      </c>
      <c r="AO89" s="26">
        <f t="shared" si="62"/>
        <v>0</v>
      </c>
      <c r="AP89" s="26">
        <f t="shared" si="62"/>
        <v>2</v>
      </c>
      <c r="AQ89" s="26">
        <f t="shared" si="62"/>
        <v>2</v>
      </c>
      <c r="AR89" s="26">
        <f t="shared" si="62"/>
        <v>2</v>
      </c>
      <c r="AS89" s="26">
        <f t="shared" si="62"/>
        <v>2</v>
      </c>
    </row>
    <row r="90" spans="1:45" x14ac:dyDescent="0.35">
      <c r="A90" s="7" t="str">
        <v>Charging data function software</v>
      </c>
      <c r="C90" s="9">
        <v>8</v>
      </c>
      <c r="D90" s="26">
        <f t="shared" si="57"/>
        <v>168</v>
      </c>
      <c r="E90" s="26">
        <f t="shared" ref="E90:W90" si="63">D90+E46-E68</f>
        <v>168</v>
      </c>
      <c r="F90" s="26">
        <f t="shared" si="63"/>
        <v>168</v>
      </c>
      <c r="G90" s="26">
        <f t="shared" si="63"/>
        <v>168</v>
      </c>
      <c r="H90" s="26">
        <f t="shared" si="63"/>
        <v>168</v>
      </c>
      <c r="I90" s="26">
        <f t="shared" si="63"/>
        <v>168</v>
      </c>
      <c r="J90" s="26">
        <f t="shared" si="63"/>
        <v>168</v>
      </c>
      <c r="K90" s="26">
        <f t="shared" si="63"/>
        <v>0</v>
      </c>
      <c r="L90" s="26">
        <f t="shared" si="63"/>
        <v>122</v>
      </c>
      <c r="M90" s="26">
        <f t="shared" si="63"/>
        <v>122</v>
      </c>
      <c r="N90" s="26">
        <f t="shared" si="63"/>
        <v>122</v>
      </c>
      <c r="O90" s="26">
        <f t="shared" si="63"/>
        <v>122</v>
      </c>
      <c r="P90" s="26">
        <f t="shared" si="63"/>
        <v>122</v>
      </c>
      <c r="Q90" s="26">
        <f t="shared" si="63"/>
        <v>122</v>
      </c>
      <c r="R90" s="26">
        <f t="shared" si="63"/>
        <v>122</v>
      </c>
      <c r="S90" s="26">
        <f t="shared" si="63"/>
        <v>0</v>
      </c>
      <c r="T90" s="26">
        <f t="shared" si="63"/>
        <v>122</v>
      </c>
      <c r="U90" s="26">
        <f t="shared" si="63"/>
        <v>122</v>
      </c>
      <c r="V90" s="26">
        <f t="shared" si="63"/>
        <v>122</v>
      </c>
      <c r="W90" s="26">
        <f t="shared" si="63"/>
        <v>122</v>
      </c>
      <c r="Z90" s="26">
        <f t="shared" si="59"/>
        <v>124</v>
      </c>
      <c r="AA90" s="26">
        <f t="shared" ref="AA90:AS90" si="64">Z90+AA46-AA68</f>
        <v>124</v>
      </c>
      <c r="AB90" s="26">
        <f t="shared" si="64"/>
        <v>124</v>
      </c>
      <c r="AC90" s="26">
        <f t="shared" si="64"/>
        <v>124</v>
      </c>
      <c r="AD90" s="26">
        <f t="shared" si="64"/>
        <v>124</v>
      </c>
      <c r="AE90" s="26">
        <f t="shared" si="64"/>
        <v>124</v>
      </c>
      <c r="AF90" s="26">
        <f t="shared" si="64"/>
        <v>124</v>
      </c>
      <c r="AG90" s="26">
        <f t="shared" si="64"/>
        <v>0</v>
      </c>
      <c r="AH90" s="26">
        <f t="shared" si="64"/>
        <v>86</v>
      </c>
      <c r="AI90" s="26">
        <f t="shared" si="64"/>
        <v>86</v>
      </c>
      <c r="AJ90" s="26">
        <f t="shared" si="64"/>
        <v>86</v>
      </c>
      <c r="AK90" s="26">
        <f t="shared" si="64"/>
        <v>86</v>
      </c>
      <c r="AL90" s="26">
        <f t="shared" si="64"/>
        <v>86</v>
      </c>
      <c r="AM90" s="26">
        <f t="shared" si="64"/>
        <v>86</v>
      </c>
      <c r="AN90" s="26">
        <f t="shared" si="64"/>
        <v>86</v>
      </c>
      <c r="AO90" s="26">
        <f t="shared" si="64"/>
        <v>0</v>
      </c>
      <c r="AP90" s="26">
        <f t="shared" si="64"/>
        <v>86</v>
      </c>
      <c r="AQ90" s="26">
        <f t="shared" si="64"/>
        <v>86</v>
      </c>
      <c r="AR90" s="26">
        <f t="shared" si="64"/>
        <v>86</v>
      </c>
      <c r="AS90" s="26">
        <f t="shared" si="64"/>
        <v>86</v>
      </c>
    </row>
    <row r="91" spans="1:45" x14ac:dyDescent="0.35">
      <c r="A91" s="7" t="str">
        <v>Proxy - Call session control function hardware</v>
      </c>
      <c r="C91" s="9">
        <v>8</v>
      </c>
      <c r="D91" s="26">
        <f t="shared" si="57"/>
        <v>2</v>
      </c>
      <c r="E91" s="26">
        <f t="shared" ref="E91:W91" si="65">D91+E47-E69</f>
        <v>2</v>
      </c>
      <c r="F91" s="26">
        <f t="shared" si="65"/>
        <v>2</v>
      </c>
      <c r="G91" s="26">
        <f t="shared" si="65"/>
        <v>2</v>
      </c>
      <c r="H91" s="26">
        <f t="shared" si="65"/>
        <v>2</v>
      </c>
      <c r="I91" s="26">
        <f t="shared" si="65"/>
        <v>2</v>
      </c>
      <c r="J91" s="26">
        <f t="shared" si="65"/>
        <v>2</v>
      </c>
      <c r="K91" s="26">
        <f t="shared" si="65"/>
        <v>0</v>
      </c>
      <c r="L91" s="26">
        <f t="shared" si="65"/>
        <v>2</v>
      </c>
      <c r="M91" s="26">
        <f t="shared" si="65"/>
        <v>2</v>
      </c>
      <c r="N91" s="26">
        <f t="shared" si="65"/>
        <v>2</v>
      </c>
      <c r="O91" s="26">
        <f t="shared" si="65"/>
        <v>2</v>
      </c>
      <c r="P91" s="26">
        <f t="shared" si="65"/>
        <v>2</v>
      </c>
      <c r="Q91" s="26">
        <f t="shared" si="65"/>
        <v>2</v>
      </c>
      <c r="R91" s="26">
        <f t="shared" si="65"/>
        <v>2</v>
      </c>
      <c r="S91" s="26">
        <f t="shared" si="65"/>
        <v>0</v>
      </c>
      <c r="T91" s="26">
        <f t="shared" si="65"/>
        <v>2</v>
      </c>
      <c r="U91" s="26">
        <f t="shared" si="65"/>
        <v>2</v>
      </c>
      <c r="V91" s="26">
        <f t="shared" si="65"/>
        <v>2</v>
      </c>
      <c r="W91" s="26">
        <f t="shared" si="65"/>
        <v>2</v>
      </c>
      <c r="Z91" s="26">
        <f t="shared" si="59"/>
        <v>2</v>
      </c>
      <c r="AA91" s="26">
        <f t="shared" ref="AA91:AS91" si="66">Z91+AA47-AA69</f>
        <v>2</v>
      </c>
      <c r="AB91" s="26">
        <f t="shared" si="66"/>
        <v>2</v>
      </c>
      <c r="AC91" s="26">
        <f t="shared" si="66"/>
        <v>2</v>
      </c>
      <c r="AD91" s="26">
        <f t="shared" si="66"/>
        <v>2</v>
      </c>
      <c r="AE91" s="26">
        <f t="shared" si="66"/>
        <v>2</v>
      </c>
      <c r="AF91" s="26">
        <f t="shared" si="66"/>
        <v>2</v>
      </c>
      <c r="AG91" s="26">
        <f t="shared" si="66"/>
        <v>0</v>
      </c>
      <c r="AH91" s="26">
        <f t="shared" si="66"/>
        <v>2</v>
      </c>
      <c r="AI91" s="26">
        <f t="shared" si="66"/>
        <v>2</v>
      </c>
      <c r="AJ91" s="26">
        <f t="shared" si="66"/>
        <v>2</v>
      </c>
      <c r="AK91" s="26">
        <f t="shared" si="66"/>
        <v>2</v>
      </c>
      <c r="AL91" s="26">
        <f t="shared" si="66"/>
        <v>2</v>
      </c>
      <c r="AM91" s="26">
        <f t="shared" si="66"/>
        <v>2</v>
      </c>
      <c r="AN91" s="26">
        <f t="shared" si="66"/>
        <v>2</v>
      </c>
      <c r="AO91" s="26">
        <f t="shared" si="66"/>
        <v>0</v>
      </c>
      <c r="AP91" s="26">
        <f t="shared" si="66"/>
        <v>2</v>
      </c>
      <c r="AQ91" s="26">
        <f t="shared" si="66"/>
        <v>2</v>
      </c>
      <c r="AR91" s="26">
        <f t="shared" si="66"/>
        <v>2</v>
      </c>
      <c r="AS91" s="26">
        <f t="shared" si="66"/>
        <v>2</v>
      </c>
    </row>
    <row r="92" spans="1:45" x14ac:dyDescent="0.35">
      <c r="A92" s="7" t="str">
        <v>Proxy - Call session control function software</v>
      </c>
      <c r="C92" s="9">
        <v>8</v>
      </c>
      <c r="D92" s="26">
        <f t="shared" si="57"/>
        <v>1714</v>
      </c>
      <c r="E92" s="26">
        <f t="shared" ref="E92:W92" si="67">D92+E48-E70</f>
        <v>1714</v>
      </c>
      <c r="F92" s="26">
        <f t="shared" si="67"/>
        <v>1714</v>
      </c>
      <c r="G92" s="26">
        <f t="shared" si="67"/>
        <v>1714</v>
      </c>
      <c r="H92" s="26">
        <f t="shared" si="67"/>
        <v>1714</v>
      </c>
      <c r="I92" s="26">
        <f t="shared" si="67"/>
        <v>1714</v>
      </c>
      <c r="J92" s="26">
        <f t="shared" si="67"/>
        <v>1714</v>
      </c>
      <c r="K92" s="26">
        <f t="shared" si="67"/>
        <v>0</v>
      </c>
      <c r="L92" s="26">
        <f t="shared" si="67"/>
        <v>1250</v>
      </c>
      <c r="M92" s="26">
        <f t="shared" si="67"/>
        <v>1250</v>
      </c>
      <c r="N92" s="26">
        <f t="shared" si="67"/>
        <v>1250</v>
      </c>
      <c r="O92" s="26">
        <f t="shared" si="67"/>
        <v>1250</v>
      </c>
      <c r="P92" s="26">
        <f t="shared" si="67"/>
        <v>1250</v>
      </c>
      <c r="Q92" s="26">
        <f t="shared" si="67"/>
        <v>1250</v>
      </c>
      <c r="R92" s="26">
        <f t="shared" si="67"/>
        <v>1250</v>
      </c>
      <c r="S92" s="26">
        <f t="shared" si="67"/>
        <v>0</v>
      </c>
      <c r="T92" s="26">
        <f t="shared" si="67"/>
        <v>1250</v>
      </c>
      <c r="U92" s="26">
        <f t="shared" si="67"/>
        <v>1250</v>
      </c>
      <c r="V92" s="26">
        <f t="shared" si="67"/>
        <v>1250</v>
      </c>
      <c r="W92" s="26">
        <f t="shared" si="67"/>
        <v>1250</v>
      </c>
      <c r="Z92" s="26">
        <f t="shared" si="59"/>
        <v>1266</v>
      </c>
      <c r="AA92" s="26">
        <f t="shared" ref="AA92:AS92" si="68">Z92+AA48-AA70</f>
        <v>1266</v>
      </c>
      <c r="AB92" s="26">
        <f t="shared" si="68"/>
        <v>1266</v>
      </c>
      <c r="AC92" s="26">
        <f t="shared" si="68"/>
        <v>1266</v>
      </c>
      <c r="AD92" s="26">
        <f t="shared" si="68"/>
        <v>1266</v>
      </c>
      <c r="AE92" s="26">
        <f t="shared" si="68"/>
        <v>1266</v>
      </c>
      <c r="AF92" s="26">
        <f t="shared" si="68"/>
        <v>1266</v>
      </c>
      <c r="AG92" s="26">
        <f t="shared" si="68"/>
        <v>0</v>
      </c>
      <c r="AH92" s="26">
        <f t="shared" si="68"/>
        <v>872</v>
      </c>
      <c r="AI92" s="26">
        <f t="shared" si="68"/>
        <v>872</v>
      </c>
      <c r="AJ92" s="26">
        <f t="shared" si="68"/>
        <v>872</v>
      </c>
      <c r="AK92" s="26">
        <f t="shared" si="68"/>
        <v>872</v>
      </c>
      <c r="AL92" s="26">
        <f t="shared" si="68"/>
        <v>872</v>
      </c>
      <c r="AM92" s="26">
        <f t="shared" si="68"/>
        <v>872</v>
      </c>
      <c r="AN92" s="26">
        <f t="shared" si="68"/>
        <v>872</v>
      </c>
      <c r="AO92" s="26">
        <f t="shared" si="68"/>
        <v>0</v>
      </c>
      <c r="AP92" s="26">
        <f t="shared" si="68"/>
        <v>872</v>
      </c>
      <c r="AQ92" s="26">
        <f t="shared" si="68"/>
        <v>872</v>
      </c>
      <c r="AR92" s="26">
        <f t="shared" si="68"/>
        <v>872</v>
      </c>
      <c r="AS92" s="26">
        <f t="shared" si="68"/>
        <v>872</v>
      </c>
    </row>
    <row r="93" spans="1:45" x14ac:dyDescent="0.35">
      <c r="A93" s="7" t="str">
        <v>Interrogating - Call session control function hardware</v>
      </c>
      <c r="C93" s="9">
        <v>8</v>
      </c>
      <c r="D93" s="26">
        <f t="shared" si="57"/>
        <v>2</v>
      </c>
      <c r="E93" s="26">
        <f t="shared" ref="E93:W93" si="69">D93+E49-E71</f>
        <v>2</v>
      </c>
      <c r="F93" s="26">
        <f t="shared" si="69"/>
        <v>2</v>
      </c>
      <c r="G93" s="26">
        <f t="shared" si="69"/>
        <v>2</v>
      </c>
      <c r="H93" s="26">
        <f t="shared" si="69"/>
        <v>2</v>
      </c>
      <c r="I93" s="26">
        <f t="shared" si="69"/>
        <v>2</v>
      </c>
      <c r="J93" s="26">
        <f t="shared" si="69"/>
        <v>2</v>
      </c>
      <c r="K93" s="26">
        <f t="shared" si="69"/>
        <v>0</v>
      </c>
      <c r="L93" s="26">
        <f t="shared" si="69"/>
        <v>2</v>
      </c>
      <c r="M93" s="26">
        <f t="shared" si="69"/>
        <v>2</v>
      </c>
      <c r="N93" s="26">
        <f t="shared" si="69"/>
        <v>2</v>
      </c>
      <c r="O93" s="26">
        <f t="shared" si="69"/>
        <v>2</v>
      </c>
      <c r="P93" s="26">
        <f t="shared" si="69"/>
        <v>2</v>
      </c>
      <c r="Q93" s="26">
        <f t="shared" si="69"/>
        <v>2</v>
      </c>
      <c r="R93" s="26">
        <f t="shared" si="69"/>
        <v>2</v>
      </c>
      <c r="S93" s="26">
        <f t="shared" si="69"/>
        <v>0</v>
      </c>
      <c r="T93" s="26">
        <f t="shared" si="69"/>
        <v>2</v>
      </c>
      <c r="U93" s="26">
        <f t="shared" si="69"/>
        <v>2</v>
      </c>
      <c r="V93" s="26">
        <f t="shared" si="69"/>
        <v>2</v>
      </c>
      <c r="W93" s="26">
        <f t="shared" si="69"/>
        <v>2</v>
      </c>
      <c r="Z93" s="26">
        <f t="shared" si="59"/>
        <v>2</v>
      </c>
      <c r="AA93" s="26">
        <f t="shared" ref="AA93:AS93" si="70">Z93+AA49-AA71</f>
        <v>2</v>
      </c>
      <c r="AB93" s="26">
        <f t="shared" si="70"/>
        <v>2</v>
      </c>
      <c r="AC93" s="26">
        <f t="shared" si="70"/>
        <v>2</v>
      </c>
      <c r="AD93" s="26">
        <f t="shared" si="70"/>
        <v>2</v>
      </c>
      <c r="AE93" s="26">
        <f t="shared" si="70"/>
        <v>2</v>
      </c>
      <c r="AF93" s="26">
        <f t="shared" si="70"/>
        <v>2</v>
      </c>
      <c r="AG93" s="26">
        <f t="shared" si="70"/>
        <v>0</v>
      </c>
      <c r="AH93" s="26">
        <f t="shared" si="70"/>
        <v>2</v>
      </c>
      <c r="AI93" s="26">
        <f t="shared" si="70"/>
        <v>2</v>
      </c>
      <c r="AJ93" s="26">
        <f t="shared" si="70"/>
        <v>2</v>
      </c>
      <c r="AK93" s="26">
        <f t="shared" si="70"/>
        <v>2</v>
      </c>
      <c r="AL93" s="26">
        <f t="shared" si="70"/>
        <v>2</v>
      </c>
      <c r="AM93" s="26">
        <f t="shared" si="70"/>
        <v>2</v>
      </c>
      <c r="AN93" s="26">
        <f t="shared" si="70"/>
        <v>2</v>
      </c>
      <c r="AO93" s="26">
        <f t="shared" si="70"/>
        <v>0</v>
      </c>
      <c r="AP93" s="26">
        <f t="shared" si="70"/>
        <v>2</v>
      </c>
      <c r="AQ93" s="26">
        <f t="shared" si="70"/>
        <v>2</v>
      </c>
      <c r="AR93" s="26">
        <f t="shared" si="70"/>
        <v>2</v>
      </c>
      <c r="AS93" s="26">
        <f t="shared" si="70"/>
        <v>2</v>
      </c>
    </row>
    <row r="94" spans="1:45" x14ac:dyDescent="0.35">
      <c r="A94" s="7" t="str">
        <v>Interrogating - Call session control function software</v>
      </c>
      <c r="C94" s="9">
        <v>8</v>
      </c>
      <c r="D94" s="26">
        <f t="shared" si="57"/>
        <v>1714</v>
      </c>
      <c r="E94" s="26">
        <f t="shared" ref="E94:W94" si="71">D94+E50-E72</f>
        <v>1714</v>
      </c>
      <c r="F94" s="26">
        <f t="shared" si="71"/>
        <v>1714</v>
      </c>
      <c r="G94" s="26">
        <f t="shared" si="71"/>
        <v>1714</v>
      </c>
      <c r="H94" s="26">
        <f t="shared" si="71"/>
        <v>1714</v>
      </c>
      <c r="I94" s="26">
        <f t="shared" si="71"/>
        <v>1714</v>
      </c>
      <c r="J94" s="26">
        <f t="shared" si="71"/>
        <v>1714</v>
      </c>
      <c r="K94" s="26">
        <f t="shared" si="71"/>
        <v>0</v>
      </c>
      <c r="L94" s="26">
        <f t="shared" si="71"/>
        <v>1250</v>
      </c>
      <c r="M94" s="26">
        <f t="shared" si="71"/>
        <v>1250</v>
      </c>
      <c r="N94" s="26">
        <f t="shared" si="71"/>
        <v>1250</v>
      </c>
      <c r="O94" s="26">
        <f t="shared" si="71"/>
        <v>1250</v>
      </c>
      <c r="P94" s="26">
        <f t="shared" si="71"/>
        <v>1250</v>
      </c>
      <c r="Q94" s="26">
        <f t="shared" si="71"/>
        <v>1250</v>
      </c>
      <c r="R94" s="26">
        <f t="shared" si="71"/>
        <v>1250</v>
      </c>
      <c r="S94" s="26">
        <f t="shared" si="71"/>
        <v>0</v>
      </c>
      <c r="T94" s="26">
        <f t="shared" si="71"/>
        <v>1250</v>
      </c>
      <c r="U94" s="26">
        <f t="shared" si="71"/>
        <v>1250</v>
      </c>
      <c r="V94" s="26">
        <f t="shared" si="71"/>
        <v>1250</v>
      </c>
      <c r="W94" s="26">
        <f t="shared" si="71"/>
        <v>1250</v>
      </c>
      <c r="Z94" s="26">
        <f t="shared" si="59"/>
        <v>1266</v>
      </c>
      <c r="AA94" s="26">
        <f t="shared" ref="AA94:AS94" si="72">Z94+AA50-AA72</f>
        <v>1266</v>
      </c>
      <c r="AB94" s="26">
        <f t="shared" si="72"/>
        <v>1266</v>
      </c>
      <c r="AC94" s="26">
        <f t="shared" si="72"/>
        <v>1266</v>
      </c>
      <c r="AD94" s="26">
        <f t="shared" si="72"/>
        <v>1266</v>
      </c>
      <c r="AE94" s="26">
        <f t="shared" si="72"/>
        <v>1266</v>
      </c>
      <c r="AF94" s="26">
        <f t="shared" si="72"/>
        <v>1266</v>
      </c>
      <c r="AG94" s="26">
        <f t="shared" si="72"/>
        <v>0</v>
      </c>
      <c r="AH94" s="26">
        <f t="shared" si="72"/>
        <v>872</v>
      </c>
      <c r="AI94" s="26">
        <f t="shared" si="72"/>
        <v>872</v>
      </c>
      <c r="AJ94" s="26">
        <f t="shared" si="72"/>
        <v>872</v>
      </c>
      <c r="AK94" s="26">
        <f t="shared" si="72"/>
        <v>872</v>
      </c>
      <c r="AL94" s="26">
        <f t="shared" si="72"/>
        <v>872</v>
      </c>
      <c r="AM94" s="26">
        <f t="shared" si="72"/>
        <v>872</v>
      </c>
      <c r="AN94" s="26">
        <f t="shared" si="72"/>
        <v>872</v>
      </c>
      <c r="AO94" s="26">
        <f t="shared" si="72"/>
        <v>0</v>
      </c>
      <c r="AP94" s="26">
        <f t="shared" si="72"/>
        <v>872</v>
      </c>
      <c r="AQ94" s="26">
        <f t="shared" si="72"/>
        <v>872</v>
      </c>
      <c r="AR94" s="26">
        <f t="shared" si="72"/>
        <v>872</v>
      </c>
      <c r="AS94" s="26">
        <f t="shared" si="72"/>
        <v>872</v>
      </c>
    </row>
    <row r="95" spans="1:45" x14ac:dyDescent="0.35">
      <c r="A95" s="7" t="str">
        <v>Serving - Call session control function hardware</v>
      </c>
      <c r="C95" s="9">
        <v>8</v>
      </c>
      <c r="D95" s="26">
        <f t="shared" si="57"/>
        <v>2</v>
      </c>
      <c r="E95" s="26">
        <f t="shared" ref="E95:W95" si="73">D95+E51-E73</f>
        <v>2</v>
      </c>
      <c r="F95" s="26">
        <f t="shared" si="73"/>
        <v>2</v>
      </c>
      <c r="G95" s="26">
        <f t="shared" si="73"/>
        <v>2</v>
      </c>
      <c r="H95" s="26">
        <f t="shared" si="73"/>
        <v>2</v>
      </c>
      <c r="I95" s="26">
        <f t="shared" si="73"/>
        <v>2</v>
      </c>
      <c r="J95" s="26">
        <f t="shared" si="73"/>
        <v>2</v>
      </c>
      <c r="K95" s="26">
        <f t="shared" si="73"/>
        <v>0</v>
      </c>
      <c r="L95" s="26">
        <f t="shared" si="73"/>
        <v>2</v>
      </c>
      <c r="M95" s="26">
        <f t="shared" si="73"/>
        <v>2</v>
      </c>
      <c r="N95" s="26">
        <f t="shared" si="73"/>
        <v>2</v>
      </c>
      <c r="O95" s="26">
        <f t="shared" si="73"/>
        <v>2</v>
      </c>
      <c r="P95" s="26">
        <f t="shared" si="73"/>
        <v>2</v>
      </c>
      <c r="Q95" s="26">
        <f t="shared" si="73"/>
        <v>2</v>
      </c>
      <c r="R95" s="26">
        <f t="shared" si="73"/>
        <v>2</v>
      </c>
      <c r="S95" s="26">
        <f t="shared" si="73"/>
        <v>0</v>
      </c>
      <c r="T95" s="26">
        <f t="shared" si="73"/>
        <v>2</v>
      </c>
      <c r="U95" s="26">
        <f t="shared" si="73"/>
        <v>2</v>
      </c>
      <c r="V95" s="26">
        <f t="shared" si="73"/>
        <v>2</v>
      </c>
      <c r="W95" s="26">
        <f t="shared" si="73"/>
        <v>2</v>
      </c>
      <c r="Z95" s="26">
        <f t="shared" si="59"/>
        <v>2</v>
      </c>
      <c r="AA95" s="26">
        <f t="shared" ref="AA95:AS95" si="74">Z95+AA51-AA73</f>
        <v>2</v>
      </c>
      <c r="AB95" s="26">
        <f t="shared" si="74"/>
        <v>2</v>
      </c>
      <c r="AC95" s="26">
        <f t="shared" si="74"/>
        <v>2</v>
      </c>
      <c r="AD95" s="26">
        <f t="shared" si="74"/>
        <v>2</v>
      </c>
      <c r="AE95" s="26">
        <f t="shared" si="74"/>
        <v>2</v>
      </c>
      <c r="AF95" s="26">
        <f t="shared" si="74"/>
        <v>2</v>
      </c>
      <c r="AG95" s="26">
        <f t="shared" si="74"/>
        <v>0</v>
      </c>
      <c r="AH95" s="26">
        <f t="shared" si="74"/>
        <v>2</v>
      </c>
      <c r="AI95" s="26">
        <f t="shared" si="74"/>
        <v>2</v>
      </c>
      <c r="AJ95" s="26">
        <f t="shared" si="74"/>
        <v>2</v>
      </c>
      <c r="AK95" s="26">
        <f t="shared" si="74"/>
        <v>2</v>
      </c>
      <c r="AL95" s="26">
        <f t="shared" si="74"/>
        <v>2</v>
      </c>
      <c r="AM95" s="26">
        <f t="shared" si="74"/>
        <v>2</v>
      </c>
      <c r="AN95" s="26">
        <f t="shared" si="74"/>
        <v>2</v>
      </c>
      <c r="AO95" s="26">
        <f t="shared" si="74"/>
        <v>0</v>
      </c>
      <c r="AP95" s="26">
        <f t="shared" si="74"/>
        <v>2</v>
      </c>
      <c r="AQ95" s="26">
        <f t="shared" si="74"/>
        <v>2</v>
      </c>
      <c r="AR95" s="26">
        <f t="shared" si="74"/>
        <v>2</v>
      </c>
      <c r="AS95" s="26">
        <f t="shared" si="74"/>
        <v>2</v>
      </c>
    </row>
    <row r="96" spans="1:45" x14ac:dyDescent="0.35">
      <c r="A96" s="7" t="str">
        <v>Serving - Call session control function software</v>
      </c>
      <c r="C96" s="9">
        <v>8</v>
      </c>
      <c r="D96" s="26">
        <f t="shared" si="57"/>
        <v>1714</v>
      </c>
      <c r="E96" s="26">
        <f t="shared" ref="E96:W96" si="75">D96+E52-E74</f>
        <v>1714</v>
      </c>
      <c r="F96" s="26">
        <f t="shared" si="75"/>
        <v>1714</v>
      </c>
      <c r="G96" s="26">
        <f t="shared" si="75"/>
        <v>1714</v>
      </c>
      <c r="H96" s="26">
        <f t="shared" si="75"/>
        <v>1714</v>
      </c>
      <c r="I96" s="26">
        <f t="shared" si="75"/>
        <v>1714</v>
      </c>
      <c r="J96" s="26">
        <f t="shared" si="75"/>
        <v>1714</v>
      </c>
      <c r="K96" s="26">
        <f t="shared" si="75"/>
        <v>0</v>
      </c>
      <c r="L96" s="26">
        <f t="shared" si="75"/>
        <v>1250</v>
      </c>
      <c r="M96" s="26">
        <f t="shared" si="75"/>
        <v>1250</v>
      </c>
      <c r="N96" s="26">
        <f t="shared" si="75"/>
        <v>1250</v>
      </c>
      <c r="O96" s="26">
        <f t="shared" si="75"/>
        <v>1250</v>
      </c>
      <c r="P96" s="26">
        <f t="shared" si="75"/>
        <v>1250</v>
      </c>
      <c r="Q96" s="26">
        <f t="shared" si="75"/>
        <v>1250</v>
      </c>
      <c r="R96" s="26">
        <f t="shared" si="75"/>
        <v>1250</v>
      </c>
      <c r="S96" s="26">
        <f t="shared" si="75"/>
        <v>0</v>
      </c>
      <c r="T96" s="26">
        <f t="shared" si="75"/>
        <v>1250</v>
      </c>
      <c r="U96" s="26">
        <f t="shared" si="75"/>
        <v>1250</v>
      </c>
      <c r="V96" s="26">
        <f t="shared" si="75"/>
        <v>1250</v>
      </c>
      <c r="W96" s="26">
        <f t="shared" si="75"/>
        <v>1250</v>
      </c>
      <c r="Z96" s="26">
        <f t="shared" si="59"/>
        <v>1266</v>
      </c>
      <c r="AA96" s="26">
        <f t="shared" ref="AA96:AS96" si="76">Z96+AA52-AA74</f>
        <v>1266</v>
      </c>
      <c r="AB96" s="26">
        <f t="shared" si="76"/>
        <v>1266</v>
      </c>
      <c r="AC96" s="26">
        <f t="shared" si="76"/>
        <v>1266</v>
      </c>
      <c r="AD96" s="26">
        <f t="shared" si="76"/>
        <v>1266</v>
      </c>
      <c r="AE96" s="26">
        <f t="shared" si="76"/>
        <v>1266</v>
      </c>
      <c r="AF96" s="26">
        <f t="shared" si="76"/>
        <v>1266</v>
      </c>
      <c r="AG96" s="26">
        <f t="shared" si="76"/>
        <v>0</v>
      </c>
      <c r="AH96" s="26">
        <f t="shared" si="76"/>
        <v>872</v>
      </c>
      <c r="AI96" s="26">
        <f t="shared" si="76"/>
        <v>872</v>
      </c>
      <c r="AJ96" s="26">
        <f t="shared" si="76"/>
        <v>872</v>
      </c>
      <c r="AK96" s="26">
        <f t="shared" si="76"/>
        <v>872</v>
      </c>
      <c r="AL96" s="26">
        <f t="shared" si="76"/>
        <v>872</v>
      </c>
      <c r="AM96" s="26">
        <f t="shared" si="76"/>
        <v>872</v>
      </c>
      <c r="AN96" s="26">
        <f t="shared" si="76"/>
        <v>872</v>
      </c>
      <c r="AO96" s="26">
        <f t="shared" si="76"/>
        <v>0</v>
      </c>
      <c r="AP96" s="26">
        <f t="shared" si="76"/>
        <v>872</v>
      </c>
      <c r="AQ96" s="26">
        <f t="shared" si="76"/>
        <v>872</v>
      </c>
      <c r="AR96" s="26">
        <f t="shared" si="76"/>
        <v>872</v>
      </c>
      <c r="AS96" s="26">
        <f t="shared" si="76"/>
        <v>872</v>
      </c>
    </row>
    <row r="97" spans="1:67" x14ac:dyDescent="0.35">
      <c r="A97" s="7" t="str">
        <v>Media resource function - hardware</v>
      </c>
      <c r="C97" s="9">
        <v>8</v>
      </c>
      <c r="D97" s="26">
        <f t="shared" si="57"/>
        <v>14</v>
      </c>
      <c r="E97" s="26">
        <f t="shared" ref="E97:W97" si="77">D97+E53-E75</f>
        <v>14</v>
      </c>
      <c r="F97" s="26">
        <f t="shared" si="77"/>
        <v>14</v>
      </c>
      <c r="G97" s="26">
        <f t="shared" si="77"/>
        <v>14</v>
      </c>
      <c r="H97" s="26">
        <f t="shared" si="77"/>
        <v>14</v>
      </c>
      <c r="I97" s="26">
        <f t="shared" si="77"/>
        <v>14</v>
      </c>
      <c r="J97" s="26">
        <f t="shared" si="77"/>
        <v>14</v>
      </c>
      <c r="K97" s="26">
        <f t="shared" si="77"/>
        <v>0</v>
      </c>
      <c r="L97" s="26">
        <f t="shared" si="77"/>
        <v>10</v>
      </c>
      <c r="M97" s="26">
        <f t="shared" si="77"/>
        <v>10</v>
      </c>
      <c r="N97" s="26">
        <f t="shared" si="77"/>
        <v>10</v>
      </c>
      <c r="O97" s="26">
        <f t="shared" si="77"/>
        <v>10</v>
      </c>
      <c r="P97" s="26">
        <f t="shared" si="77"/>
        <v>10</v>
      </c>
      <c r="Q97" s="26">
        <f t="shared" si="77"/>
        <v>10</v>
      </c>
      <c r="R97" s="26">
        <f t="shared" si="77"/>
        <v>10</v>
      </c>
      <c r="S97" s="26">
        <f t="shared" si="77"/>
        <v>0</v>
      </c>
      <c r="T97" s="26">
        <f t="shared" si="77"/>
        <v>10</v>
      </c>
      <c r="U97" s="26">
        <f t="shared" si="77"/>
        <v>10</v>
      </c>
      <c r="V97" s="26">
        <f t="shared" si="77"/>
        <v>10</v>
      </c>
      <c r="W97" s="26">
        <f t="shared" si="77"/>
        <v>10</v>
      </c>
      <c r="Z97" s="26">
        <f t="shared" si="59"/>
        <v>8</v>
      </c>
      <c r="AA97" s="26">
        <f t="shared" ref="AA97:AS97" si="78">Z97+AA53-AA75</f>
        <v>8</v>
      </c>
      <c r="AB97" s="26">
        <f t="shared" si="78"/>
        <v>8</v>
      </c>
      <c r="AC97" s="26">
        <f t="shared" si="78"/>
        <v>8</v>
      </c>
      <c r="AD97" s="26">
        <f t="shared" si="78"/>
        <v>8</v>
      </c>
      <c r="AE97" s="26">
        <f t="shared" si="78"/>
        <v>8</v>
      </c>
      <c r="AF97" s="26">
        <f t="shared" si="78"/>
        <v>8</v>
      </c>
      <c r="AG97" s="26">
        <f t="shared" si="78"/>
        <v>0</v>
      </c>
      <c r="AH97" s="26">
        <f t="shared" si="78"/>
        <v>6</v>
      </c>
      <c r="AI97" s="26">
        <f t="shared" si="78"/>
        <v>6</v>
      </c>
      <c r="AJ97" s="26">
        <f t="shared" si="78"/>
        <v>6</v>
      </c>
      <c r="AK97" s="26">
        <f t="shared" si="78"/>
        <v>6</v>
      </c>
      <c r="AL97" s="26">
        <f t="shared" si="78"/>
        <v>6</v>
      </c>
      <c r="AM97" s="26">
        <f t="shared" si="78"/>
        <v>6</v>
      </c>
      <c r="AN97" s="26">
        <f t="shared" si="78"/>
        <v>6</v>
      </c>
      <c r="AO97" s="26">
        <f t="shared" si="78"/>
        <v>0</v>
      </c>
      <c r="AP97" s="26">
        <f t="shared" si="78"/>
        <v>6</v>
      </c>
      <c r="AQ97" s="26">
        <f t="shared" si="78"/>
        <v>6</v>
      </c>
      <c r="AR97" s="26">
        <f t="shared" si="78"/>
        <v>6</v>
      </c>
      <c r="AS97" s="26">
        <f t="shared" si="78"/>
        <v>6</v>
      </c>
    </row>
    <row r="98" spans="1:67" x14ac:dyDescent="0.35">
      <c r="A98" s="7" t="str">
        <v>Media resource function - software</v>
      </c>
      <c r="C98" s="9">
        <v>8</v>
      </c>
      <c r="D98" s="26">
        <f t="shared" si="57"/>
        <v>136710</v>
      </c>
      <c r="E98" s="26">
        <f t="shared" ref="E98:W98" si="79">D98+E54-E76</f>
        <v>136710</v>
      </c>
      <c r="F98" s="26">
        <f t="shared" si="79"/>
        <v>136710</v>
      </c>
      <c r="G98" s="26">
        <f t="shared" si="79"/>
        <v>136710</v>
      </c>
      <c r="H98" s="26">
        <f t="shared" si="79"/>
        <v>136710</v>
      </c>
      <c r="I98" s="26">
        <f t="shared" si="79"/>
        <v>136710</v>
      </c>
      <c r="J98" s="26">
        <f t="shared" si="79"/>
        <v>136710</v>
      </c>
      <c r="K98" s="26">
        <f t="shared" si="79"/>
        <v>0</v>
      </c>
      <c r="L98" s="26">
        <f t="shared" si="79"/>
        <v>97932</v>
      </c>
      <c r="M98" s="26">
        <f t="shared" si="79"/>
        <v>97932</v>
      </c>
      <c r="N98" s="26">
        <f t="shared" si="79"/>
        <v>97932</v>
      </c>
      <c r="O98" s="26">
        <f t="shared" si="79"/>
        <v>97932</v>
      </c>
      <c r="P98" s="26">
        <f t="shared" si="79"/>
        <v>97932</v>
      </c>
      <c r="Q98" s="26">
        <f t="shared" si="79"/>
        <v>97932</v>
      </c>
      <c r="R98" s="26">
        <f t="shared" si="79"/>
        <v>97932</v>
      </c>
      <c r="S98" s="26">
        <f t="shared" si="79"/>
        <v>0</v>
      </c>
      <c r="T98" s="26">
        <f t="shared" si="79"/>
        <v>97932</v>
      </c>
      <c r="U98" s="26">
        <f t="shared" si="79"/>
        <v>97932</v>
      </c>
      <c r="V98" s="26">
        <f t="shared" si="79"/>
        <v>97932</v>
      </c>
      <c r="W98" s="26">
        <f t="shared" si="79"/>
        <v>97932</v>
      </c>
      <c r="Z98" s="26">
        <f t="shared" si="59"/>
        <v>106550</v>
      </c>
      <c r="AA98" s="26">
        <f t="shared" ref="AA98:AS98" si="80">Z98+AA54-AA76</f>
        <v>106550</v>
      </c>
      <c r="AB98" s="26">
        <f t="shared" si="80"/>
        <v>106550</v>
      </c>
      <c r="AC98" s="26">
        <f t="shared" si="80"/>
        <v>106550</v>
      </c>
      <c r="AD98" s="26">
        <f t="shared" si="80"/>
        <v>106550</v>
      </c>
      <c r="AE98" s="26">
        <f t="shared" si="80"/>
        <v>106550</v>
      </c>
      <c r="AF98" s="26">
        <f t="shared" si="80"/>
        <v>106550</v>
      </c>
      <c r="AG98" s="26">
        <f t="shared" si="80"/>
        <v>0</v>
      </c>
      <c r="AH98" s="26">
        <f t="shared" si="80"/>
        <v>72418</v>
      </c>
      <c r="AI98" s="26">
        <f t="shared" si="80"/>
        <v>72418</v>
      </c>
      <c r="AJ98" s="26">
        <f t="shared" si="80"/>
        <v>72418</v>
      </c>
      <c r="AK98" s="26">
        <f t="shared" si="80"/>
        <v>72418</v>
      </c>
      <c r="AL98" s="26">
        <f t="shared" si="80"/>
        <v>72418</v>
      </c>
      <c r="AM98" s="26">
        <f t="shared" si="80"/>
        <v>72418</v>
      </c>
      <c r="AN98" s="26">
        <f t="shared" si="80"/>
        <v>72418</v>
      </c>
      <c r="AO98" s="26">
        <f t="shared" si="80"/>
        <v>0</v>
      </c>
      <c r="AP98" s="26">
        <f t="shared" si="80"/>
        <v>72418</v>
      </c>
      <c r="AQ98" s="26">
        <f t="shared" si="80"/>
        <v>72418</v>
      </c>
      <c r="AR98" s="26">
        <f t="shared" si="80"/>
        <v>72418</v>
      </c>
      <c r="AS98" s="26">
        <f t="shared" si="80"/>
        <v>72418</v>
      </c>
    </row>
    <row r="99" spans="1:67" x14ac:dyDescent="0.35">
      <c r="A99" s="7" t="str">
        <v>Access session border controller - hardware</v>
      </c>
      <c r="C99" s="9">
        <v>8</v>
      </c>
      <c r="D99" s="26">
        <f t="shared" si="57"/>
        <v>6</v>
      </c>
      <c r="E99" s="26">
        <f t="shared" ref="E99:W99" si="81">D99+E55-E77</f>
        <v>6</v>
      </c>
      <c r="F99" s="26">
        <f t="shared" si="81"/>
        <v>6</v>
      </c>
      <c r="G99" s="26">
        <f t="shared" si="81"/>
        <v>6</v>
      </c>
      <c r="H99" s="26">
        <f t="shared" si="81"/>
        <v>6</v>
      </c>
      <c r="I99" s="26">
        <f t="shared" si="81"/>
        <v>6</v>
      </c>
      <c r="J99" s="26">
        <f t="shared" si="81"/>
        <v>6</v>
      </c>
      <c r="K99" s="26">
        <f t="shared" si="81"/>
        <v>0</v>
      </c>
      <c r="L99" s="26">
        <f t="shared" si="81"/>
        <v>4</v>
      </c>
      <c r="M99" s="26">
        <f t="shared" si="81"/>
        <v>4</v>
      </c>
      <c r="N99" s="26">
        <f t="shared" si="81"/>
        <v>4</v>
      </c>
      <c r="O99" s="26">
        <f t="shared" si="81"/>
        <v>4</v>
      </c>
      <c r="P99" s="26">
        <f t="shared" si="81"/>
        <v>4</v>
      </c>
      <c r="Q99" s="26">
        <f t="shared" si="81"/>
        <v>4</v>
      </c>
      <c r="R99" s="26">
        <f t="shared" si="81"/>
        <v>4</v>
      </c>
      <c r="S99" s="26">
        <f t="shared" si="81"/>
        <v>0</v>
      </c>
      <c r="T99" s="26">
        <f t="shared" si="81"/>
        <v>4</v>
      </c>
      <c r="U99" s="26">
        <f t="shared" si="81"/>
        <v>4</v>
      </c>
      <c r="V99" s="26">
        <f t="shared" si="81"/>
        <v>4</v>
      </c>
      <c r="W99" s="26">
        <f t="shared" si="81"/>
        <v>4</v>
      </c>
      <c r="Z99" s="26">
        <f t="shared" si="59"/>
        <v>4</v>
      </c>
      <c r="AA99" s="26">
        <f t="shared" ref="AA99:AS99" si="82">Z99+AA55-AA77</f>
        <v>4</v>
      </c>
      <c r="AB99" s="26">
        <f t="shared" si="82"/>
        <v>4</v>
      </c>
      <c r="AC99" s="26">
        <f t="shared" si="82"/>
        <v>4</v>
      </c>
      <c r="AD99" s="26">
        <f t="shared" si="82"/>
        <v>4</v>
      </c>
      <c r="AE99" s="26">
        <f t="shared" si="82"/>
        <v>4</v>
      </c>
      <c r="AF99" s="26">
        <f t="shared" si="82"/>
        <v>4</v>
      </c>
      <c r="AG99" s="26">
        <f t="shared" si="82"/>
        <v>0</v>
      </c>
      <c r="AH99" s="26">
        <f t="shared" si="82"/>
        <v>4</v>
      </c>
      <c r="AI99" s="26">
        <f t="shared" si="82"/>
        <v>4</v>
      </c>
      <c r="AJ99" s="26">
        <f t="shared" si="82"/>
        <v>4</v>
      </c>
      <c r="AK99" s="26">
        <f t="shared" si="82"/>
        <v>4</v>
      </c>
      <c r="AL99" s="26">
        <f t="shared" si="82"/>
        <v>4</v>
      </c>
      <c r="AM99" s="26">
        <f t="shared" si="82"/>
        <v>4</v>
      </c>
      <c r="AN99" s="26">
        <f t="shared" si="82"/>
        <v>4</v>
      </c>
      <c r="AO99" s="26">
        <f t="shared" si="82"/>
        <v>0</v>
      </c>
      <c r="AP99" s="26">
        <f t="shared" si="82"/>
        <v>4</v>
      </c>
      <c r="AQ99" s="26">
        <f t="shared" si="82"/>
        <v>4</v>
      </c>
      <c r="AR99" s="26">
        <f t="shared" si="82"/>
        <v>4</v>
      </c>
      <c r="AS99" s="26">
        <f t="shared" si="82"/>
        <v>4</v>
      </c>
    </row>
    <row r="100" spans="1:67" x14ac:dyDescent="0.35">
      <c r="A100" s="7" t="str">
        <v>Access session border controller - software</v>
      </c>
      <c r="C100" s="9">
        <v>8</v>
      </c>
      <c r="D100" s="26">
        <f t="shared" si="57"/>
        <v>10</v>
      </c>
      <c r="E100" s="26">
        <f t="shared" ref="E100:W100" si="83">D100+E56-E78</f>
        <v>10</v>
      </c>
      <c r="F100" s="26">
        <f t="shared" si="83"/>
        <v>10</v>
      </c>
      <c r="G100" s="26">
        <f t="shared" si="83"/>
        <v>10</v>
      </c>
      <c r="H100" s="26">
        <f t="shared" si="83"/>
        <v>10</v>
      </c>
      <c r="I100" s="26">
        <f t="shared" si="83"/>
        <v>10</v>
      </c>
      <c r="J100" s="26">
        <f t="shared" si="83"/>
        <v>10</v>
      </c>
      <c r="K100" s="26">
        <f t="shared" si="83"/>
        <v>0</v>
      </c>
      <c r="L100" s="26">
        <f t="shared" si="83"/>
        <v>8</v>
      </c>
      <c r="M100" s="26">
        <f t="shared" si="83"/>
        <v>8</v>
      </c>
      <c r="N100" s="26">
        <f t="shared" si="83"/>
        <v>8</v>
      </c>
      <c r="O100" s="26">
        <f t="shared" si="83"/>
        <v>8</v>
      </c>
      <c r="P100" s="26">
        <f t="shared" si="83"/>
        <v>8</v>
      </c>
      <c r="Q100" s="26">
        <f t="shared" si="83"/>
        <v>8</v>
      </c>
      <c r="R100" s="26">
        <f t="shared" si="83"/>
        <v>8</v>
      </c>
      <c r="S100" s="26">
        <f t="shared" si="83"/>
        <v>0</v>
      </c>
      <c r="T100" s="26">
        <f t="shared" si="83"/>
        <v>8</v>
      </c>
      <c r="U100" s="26">
        <f t="shared" si="83"/>
        <v>8</v>
      </c>
      <c r="V100" s="26">
        <f t="shared" si="83"/>
        <v>8</v>
      </c>
      <c r="W100" s="26">
        <f t="shared" si="83"/>
        <v>8</v>
      </c>
      <c r="Z100" s="26">
        <f t="shared" si="59"/>
        <v>8</v>
      </c>
      <c r="AA100" s="26">
        <f t="shared" ref="AA100:AS100" si="84">Z100+AA56-AA78</f>
        <v>8</v>
      </c>
      <c r="AB100" s="26">
        <f t="shared" si="84"/>
        <v>8</v>
      </c>
      <c r="AC100" s="26">
        <f t="shared" si="84"/>
        <v>8</v>
      </c>
      <c r="AD100" s="26">
        <f t="shared" si="84"/>
        <v>8</v>
      </c>
      <c r="AE100" s="26">
        <f t="shared" si="84"/>
        <v>8</v>
      </c>
      <c r="AF100" s="26">
        <f t="shared" si="84"/>
        <v>8</v>
      </c>
      <c r="AG100" s="26">
        <f t="shared" si="84"/>
        <v>0</v>
      </c>
      <c r="AH100" s="26">
        <f t="shared" si="84"/>
        <v>6</v>
      </c>
      <c r="AI100" s="26">
        <f t="shared" si="84"/>
        <v>6</v>
      </c>
      <c r="AJ100" s="26">
        <f t="shared" si="84"/>
        <v>6</v>
      </c>
      <c r="AK100" s="26">
        <f t="shared" si="84"/>
        <v>6</v>
      </c>
      <c r="AL100" s="26">
        <f t="shared" si="84"/>
        <v>6</v>
      </c>
      <c r="AM100" s="26">
        <f t="shared" si="84"/>
        <v>6</v>
      </c>
      <c r="AN100" s="26">
        <f t="shared" si="84"/>
        <v>6</v>
      </c>
      <c r="AO100" s="26">
        <f t="shared" si="84"/>
        <v>0</v>
      </c>
      <c r="AP100" s="26">
        <f t="shared" si="84"/>
        <v>6</v>
      </c>
      <c r="AQ100" s="26">
        <f t="shared" si="84"/>
        <v>6</v>
      </c>
      <c r="AR100" s="26">
        <f t="shared" si="84"/>
        <v>6</v>
      </c>
      <c r="AS100" s="26">
        <f t="shared" si="84"/>
        <v>6</v>
      </c>
    </row>
    <row r="101" spans="1:67" x14ac:dyDescent="0.35">
      <c r="A101" s="7" t="str">
        <v>Internet exchange point session border controller - hardware</v>
      </c>
      <c r="C101" s="9">
        <v>8</v>
      </c>
      <c r="D101" s="26">
        <f t="shared" si="57"/>
        <v>4</v>
      </c>
      <c r="E101" s="26">
        <f t="shared" ref="E101:W101" si="85">D101+E57-E79</f>
        <v>4</v>
      </c>
      <c r="F101" s="26">
        <f t="shared" si="85"/>
        <v>4</v>
      </c>
      <c r="G101" s="26">
        <f t="shared" si="85"/>
        <v>4</v>
      </c>
      <c r="H101" s="26">
        <f t="shared" si="85"/>
        <v>4</v>
      </c>
      <c r="I101" s="26">
        <f t="shared" si="85"/>
        <v>4</v>
      </c>
      <c r="J101" s="26">
        <f t="shared" si="85"/>
        <v>4</v>
      </c>
      <c r="K101" s="26">
        <f t="shared" si="85"/>
        <v>0</v>
      </c>
      <c r="L101" s="26">
        <f t="shared" si="85"/>
        <v>4</v>
      </c>
      <c r="M101" s="26">
        <f t="shared" si="85"/>
        <v>4</v>
      </c>
      <c r="N101" s="26">
        <f t="shared" si="85"/>
        <v>4</v>
      </c>
      <c r="O101" s="26">
        <f t="shared" si="85"/>
        <v>4</v>
      </c>
      <c r="P101" s="26">
        <f t="shared" si="85"/>
        <v>4</v>
      </c>
      <c r="Q101" s="26">
        <f t="shared" si="85"/>
        <v>4</v>
      </c>
      <c r="R101" s="26">
        <f t="shared" si="85"/>
        <v>4</v>
      </c>
      <c r="S101" s="26">
        <f t="shared" si="85"/>
        <v>0</v>
      </c>
      <c r="T101" s="26">
        <f t="shared" si="85"/>
        <v>4</v>
      </c>
      <c r="U101" s="26">
        <f t="shared" si="85"/>
        <v>4</v>
      </c>
      <c r="V101" s="26">
        <f t="shared" si="85"/>
        <v>4</v>
      </c>
      <c r="W101" s="26">
        <f t="shared" si="85"/>
        <v>4</v>
      </c>
      <c r="Z101" s="26">
        <f t="shared" si="59"/>
        <v>4</v>
      </c>
      <c r="AA101" s="26">
        <f t="shared" ref="AA101:AS101" si="86">Z101+AA57-AA79</f>
        <v>4</v>
      </c>
      <c r="AB101" s="26">
        <f t="shared" si="86"/>
        <v>4</v>
      </c>
      <c r="AC101" s="26">
        <f t="shared" si="86"/>
        <v>4</v>
      </c>
      <c r="AD101" s="26">
        <f t="shared" si="86"/>
        <v>4</v>
      </c>
      <c r="AE101" s="26">
        <f t="shared" si="86"/>
        <v>4</v>
      </c>
      <c r="AF101" s="26">
        <f t="shared" si="86"/>
        <v>4</v>
      </c>
      <c r="AG101" s="26">
        <f t="shared" si="86"/>
        <v>0</v>
      </c>
      <c r="AH101" s="26">
        <f t="shared" si="86"/>
        <v>2</v>
      </c>
      <c r="AI101" s="26">
        <f t="shared" si="86"/>
        <v>2</v>
      </c>
      <c r="AJ101" s="26">
        <f t="shared" si="86"/>
        <v>2</v>
      </c>
      <c r="AK101" s="26">
        <f t="shared" si="86"/>
        <v>2</v>
      </c>
      <c r="AL101" s="26">
        <f t="shared" si="86"/>
        <v>2</v>
      </c>
      <c r="AM101" s="26">
        <f t="shared" si="86"/>
        <v>2</v>
      </c>
      <c r="AN101" s="26">
        <f t="shared" si="86"/>
        <v>2</v>
      </c>
      <c r="AO101" s="26">
        <f t="shared" si="86"/>
        <v>0</v>
      </c>
      <c r="AP101" s="26">
        <f t="shared" si="86"/>
        <v>2</v>
      </c>
      <c r="AQ101" s="26">
        <f t="shared" si="86"/>
        <v>2</v>
      </c>
      <c r="AR101" s="26">
        <f t="shared" si="86"/>
        <v>2</v>
      </c>
      <c r="AS101" s="26">
        <f t="shared" si="86"/>
        <v>2</v>
      </c>
    </row>
    <row r="102" spans="1:67" x14ac:dyDescent="0.35">
      <c r="A102" s="7" t="str">
        <v>Internet exchange point session border controller - software</v>
      </c>
      <c r="C102" s="9">
        <v>8</v>
      </c>
      <c r="D102" s="26">
        <f t="shared" si="57"/>
        <v>8</v>
      </c>
      <c r="E102" s="26">
        <f>D102+E58-E80</f>
        <v>8</v>
      </c>
      <c r="F102" s="26">
        <f t="shared" ref="F102:W102" si="87">E102+F58-F80</f>
        <v>8</v>
      </c>
      <c r="G102" s="26">
        <f t="shared" si="87"/>
        <v>8</v>
      </c>
      <c r="H102" s="26">
        <f t="shared" si="87"/>
        <v>8</v>
      </c>
      <c r="I102" s="26">
        <f t="shared" si="87"/>
        <v>8</v>
      </c>
      <c r="J102" s="26">
        <f t="shared" si="87"/>
        <v>8</v>
      </c>
      <c r="K102" s="26">
        <f t="shared" si="87"/>
        <v>0</v>
      </c>
      <c r="L102" s="26">
        <f t="shared" si="87"/>
        <v>6</v>
      </c>
      <c r="M102" s="26">
        <f t="shared" si="87"/>
        <v>6</v>
      </c>
      <c r="N102" s="26">
        <f t="shared" si="87"/>
        <v>6</v>
      </c>
      <c r="O102" s="26">
        <f t="shared" si="87"/>
        <v>6</v>
      </c>
      <c r="P102" s="26">
        <f t="shared" si="87"/>
        <v>6</v>
      </c>
      <c r="Q102" s="26">
        <f t="shared" si="87"/>
        <v>6</v>
      </c>
      <c r="R102" s="26">
        <f t="shared" si="87"/>
        <v>6</v>
      </c>
      <c r="S102" s="26">
        <f t="shared" si="87"/>
        <v>0</v>
      </c>
      <c r="T102" s="26">
        <f t="shared" si="87"/>
        <v>6</v>
      </c>
      <c r="U102" s="26">
        <f t="shared" si="87"/>
        <v>6</v>
      </c>
      <c r="V102" s="26">
        <f t="shared" si="87"/>
        <v>6</v>
      </c>
      <c r="W102" s="26">
        <f t="shared" si="87"/>
        <v>6</v>
      </c>
      <c r="X102" s="15"/>
      <c r="Z102" s="26">
        <f t="shared" si="59"/>
        <v>6</v>
      </c>
      <c r="AA102" s="26">
        <f t="shared" ref="AA102:AS102" si="88">Z102+AA58-AA80</f>
        <v>6</v>
      </c>
      <c r="AB102" s="26">
        <f t="shared" si="88"/>
        <v>6</v>
      </c>
      <c r="AC102" s="26">
        <f t="shared" si="88"/>
        <v>6</v>
      </c>
      <c r="AD102" s="26">
        <f t="shared" si="88"/>
        <v>6</v>
      </c>
      <c r="AE102" s="26">
        <f t="shared" si="88"/>
        <v>6</v>
      </c>
      <c r="AF102" s="26">
        <f t="shared" si="88"/>
        <v>6</v>
      </c>
      <c r="AG102" s="26">
        <f t="shared" si="88"/>
        <v>0</v>
      </c>
      <c r="AH102" s="26">
        <f t="shared" si="88"/>
        <v>4</v>
      </c>
      <c r="AI102" s="26">
        <f t="shared" si="88"/>
        <v>4</v>
      </c>
      <c r="AJ102" s="26">
        <f t="shared" si="88"/>
        <v>4</v>
      </c>
      <c r="AK102" s="26">
        <f t="shared" si="88"/>
        <v>4</v>
      </c>
      <c r="AL102" s="26">
        <f t="shared" si="88"/>
        <v>4</v>
      </c>
      <c r="AM102" s="26">
        <f t="shared" si="88"/>
        <v>4</v>
      </c>
      <c r="AN102" s="26">
        <f t="shared" si="88"/>
        <v>4</v>
      </c>
      <c r="AO102" s="26">
        <f t="shared" si="88"/>
        <v>0</v>
      </c>
      <c r="AP102" s="26">
        <f t="shared" si="88"/>
        <v>4</v>
      </c>
      <c r="AQ102" s="26">
        <f t="shared" si="88"/>
        <v>4</v>
      </c>
      <c r="AR102" s="26">
        <f t="shared" si="88"/>
        <v>4</v>
      </c>
      <c r="AS102" s="26">
        <f t="shared" si="88"/>
        <v>4</v>
      </c>
      <c r="AT102" s="15"/>
      <c r="AW102" s="114"/>
    </row>
    <row r="104" spans="1:67" x14ac:dyDescent="0.35">
      <c r="A104" s="29" t="s">
        <v>365</v>
      </c>
    </row>
    <row r="106" spans="1:67" x14ac:dyDescent="0.35">
      <c r="A106" s="12" t="s">
        <v>370</v>
      </c>
    </row>
    <row r="107" spans="1:67" x14ac:dyDescent="0.35">
      <c r="D107" s="48" t="s">
        <v>97</v>
      </c>
      <c r="E107" s="49"/>
      <c r="F107" s="49"/>
      <c r="G107" s="49"/>
      <c r="H107" s="49"/>
      <c r="I107" s="49"/>
      <c r="J107" s="49"/>
      <c r="K107" s="49"/>
      <c r="L107" s="49"/>
      <c r="M107" s="49"/>
      <c r="N107" s="49"/>
      <c r="O107" s="49"/>
      <c r="P107" s="49"/>
      <c r="Q107" s="49"/>
      <c r="R107" s="49"/>
      <c r="S107" s="49"/>
      <c r="T107" s="49"/>
      <c r="U107" s="49"/>
      <c r="V107" s="49"/>
      <c r="W107" s="49"/>
      <c r="Z107" s="48" t="s">
        <v>127</v>
      </c>
      <c r="AA107" s="49"/>
      <c r="AB107" s="49"/>
      <c r="AC107" s="49"/>
      <c r="AD107" s="49"/>
      <c r="AE107" s="49"/>
      <c r="AF107" s="49"/>
      <c r="AG107" s="49"/>
      <c r="AH107" s="49"/>
      <c r="AI107" s="49"/>
      <c r="AJ107" s="49"/>
      <c r="AK107" s="49"/>
      <c r="AL107" s="49"/>
      <c r="AM107" s="49"/>
      <c r="AN107" s="49"/>
      <c r="AO107" s="49"/>
      <c r="AP107" s="49"/>
      <c r="AQ107" s="49"/>
      <c r="AR107" s="49"/>
      <c r="AS107" s="49"/>
      <c r="AV107" s="48" t="s">
        <v>376</v>
      </c>
      <c r="AW107" s="49"/>
      <c r="AX107" s="49"/>
      <c r="AY107" s="49"/>
      <c r="AZ107" s="49"/>
      <c r="BA107" s="49"/>
      <c r="BB107" s="49"/>
      <c r="BC107" s="49"/>
      <c r="BD107" s="49"/>
      <c r="BE107" s="49"/>
      <c r="BF107" s="49"/>
      <c r="BG107" s="49"/>
      <c r="BH107" s="49"/>
      <c r="BI107" s="49"/>
      <c r="BJ107" s="49"/>
      <c r="BK107" s="49"/>
      <c r="BL107" s="49"/>
      <c r="BM107" s="49"/>
      <c r="BN107" s="49"/>
      <c r="BO107" s="49"/>
    </row>
    <row r="108" spans="1:67" x14ac:dyDescent="0.35">
      <c r="B108" s="15"/>
      <c r="C108" s="15"/>
      <c r="D108" s="12">
        <v>1</v>
      </c>
      <c r="E108" s="12">
        <v>2</v>
      </c>
      <c r="F108" s="12">
        <v>3</v>
      </c>
      <c r="G108" s="12">
        <v>4</v>
      </c>
      <c r="H108" s="12">
        <v>5</v>
      </c>
      <c r="I108" s="12">
        <v>6</v>
      </c>
      <c r="J108" s="12">
        <v>7</v>
      </c>
      <c r="K108" s="12">
        <v>8</v>
      </c>
      <c r="L108" s="12">
        <v>9</v>
      </c>
      <c r="M108" s="12">
        <v>10</v>
      </c>
      <c r="N108" s="12">
        <v>11</v>
      </c>
      <c r="O108" s="12">
        <v>12</v>
      </c>
      <c r="P108" s="12">
        <v>13</v>
      </c>
      <c r="Q108" s="12">
        <v>14</v>
      </c>
      <c r="R108" s="12">
        <v>15</v>
      </c>
      <c r="S108" s="12">
        <v>16</v>
      </c>
      <c r="T108" s="12">
        <v>17</v>
      </c>
      <c r="U108" s="12">
        <v>18</v>
      </c>
      <c r="V108" s="12">
        <v>19</v>
      </c>
      <c r="W108" s="12">
        <v>20</v>
      </c>
      <c r="Z108" s="18" cm="1">
        <f t="array" ref="Z108:AS108">time_index</f>
        <v>1</v>
      </c>
      <c r="AA108">
        <v>2</v>
      </c>
      <c r="AB108" s="12">
        <v>3</v>
      </c>
      <c r="AC108" s="12">
        <v>4</v>
      </c>
      <c r="AD108" s="12">
        <v>5</v>
      </c>
      <c r="AE108" s="12">
        <v>6</v>
      </c>
      <c r="AF108" s="12">
        <v>7</v>
      </c>
      <c r="AG108" s="12">
        <v>8</v>
      </c>
      <c r="AH108" s="12">
        <v>9</v>
      </c>
      <c r="AI108" s="12">
        <v>10</v>
      </c>
      <c r="AJ108" s="12">
        <v>11</v>
      </c>
      <c r="AK108" s="12">
        <v>12</v>
      </c>
      <c r="AL108" s="12">
        <v>13</v>
      </c>
      <c r="AM108" s="12">
        <v>14</v>
      </c>
      <c r="AN108" s="12">
        <v>15</v>
      </c>
      <c r="AO108" s="12">
        <v>16</v>
      </c>
      <c r="AP108" s="12">
        <v>17</v>
      </c>
      <c r="AQ108" s="12">
        <v>18</v>
      </c>
      <c r="AR108" s="12">
        <v>19</v>
      </c>
      <c r="AS108" s="12">
        <v>20</v>
      </c>
      <c r="AV108" s="12" cm="1">
        <f t="array" ref="AV108:BO108">time_index</f>
        <v>1</v>
      </c>
      <c r="AW108" s="12">
        <v>2</v>
      </c>
      <c r="AX108" s="12">
        <v>3</v>
      </c>
      <c r="AY108" s="12">
        <v>4</v>
      </c>
      <c r="AZ108" s="12">
        <v>5</v>
      </c>
      <c r="BA108" s="12">
        <v>6</v>
      </c>
      <c r="BB108" s="12">
        <v>7</v>
      </c>
      <c r="BC108" s="12">
        <v>8</v>
      </c>
      <c r="BD108" s="12">
        <v>9</v>
      </c>
      <c r="BE108" s="12">
        <v>10</v>
      </c>
      <c r="BF108" s="12">
        <v>11</v>
      </c>
      <c r="BG108" s="12">
        <v>12</v>
      </c>
      <c r="BH108" s="12">
        <v>13</v>
      </c>
      <c r="BI108" s="12">
        <v>14</v>
      </c>
      <c r="BJ108" s="12">
        <v>15</v>
      </c>
      <c r="BK108" s="12">
        <v>16</v>
      </c>
      <c r="BL108" s="12">
        <v>17</v>
      </c>
      <c r="BM108" s="12">
        <v>18</v>
      </c>
      <c r="BN108" s="12">
        <v>19</v>
      </c>
      <c r="BO108" s="12">
        <v>20</v>
      </c>
    </row>
    <row r="109" spans="1:67" ht="29" x14ac:dyDescent="0.35">
      <c r="A109" s="129"/>
      <c r="C109" s="56" t="s">
        <v>152</v>
      </c>
      <c r="D109" s="52" cm="1">
        <f t="array" ref="D109:W109">years</f>
        <v>2018</v>
      </c>
      <c r="E109" s="52">
        <v>2019</v>
      </c>
      <c r="F109" s="52">
        <v>2020</v>
      </c>
      <c r="G109" s="52">
        <v>2021</v>
      </c>
      <c r="H109" s="52">
        <v>2022</v>
      </c>
      <c r="I109" s="52">
        <v>2023</v>
      </c>
      <c r="J109" s="52">
        <v>2024</v>
      </c>
      <c r="K109" s="52">
        <v>2025</v>
      </c>
      <c r="L109" s="52">
        <v>2026</v>
      </c>
      <c r="M109" s="52">
        <v>2027</v>
      </c>
      <c r="N109" s="52">
        <v>2028</v>
      </c>
      <c r="O109" s="52">
        <v>2029</v>
      </c>
      <c r="P109" s="52">
        <v>2030</v>
      </c>
      <c r="Q109" s="52">
        <v>2031</v>
      </c>
      <c r="R109" s="52">
        <v>2032</v>
      </c>
      <c r="S109" s="52">
        <v>2033</v>
      </c>
      <c r="T109" s="52">
        <v>2034</v>
      </c>
      <c r="U109" s="52">
        <v>2035</v>
      </c>
      <c r="V109" s="52">
        <v>2036</v>
      </c>
      <c r="W109" s="52">
        <v>2037</v>
      </c>
      <c r="Z109" s="229" cm="1">
        <f t="array" ref="Z109:AS109">years</f>
        <v>2018</v>
      </c>
      <c r="AA109" s="53">
        <v>2019</v>
      </c>
      <c r="AB109" s="52">
        <v>2020</v>
      </c>
      <c r="AC109" s="52">
        <v>2021</v>
      </c>
      <c r="AD109" s="52">
        <v>2022</v>
      </c>
      <c r="AE109" s="52">
        <v>2023</v>
      </c>
      <c r="AF109" s="52">
        <v>2024</v>
      </c>
      <c r="AG109" s="52">
        <v>2025</v>
      </c>
      <c r="AH109" s="52">
        <v>2026</v>
      </c>
      <c r="AI109" s="52">
        <v>2027</v>
      </c>
      <c r="AJ109" s="52">
        <v>2028</v>
      </c>
      <c r="AK109" s="52">
        <v>2029</v>
      </c>
      <c r="AL109" s="52">
        <v>2030</v>
      </c>
      <c r="AM109" s="52">
        <v>2031</v>
      </c>
      <c r="AN109" s="52">
        <v>2032</v>
      </c>
      <c r="AO109" s="52">
        <v>2033</v>
      </c>
      <c r="AP109" s="52">
        <v>2034</v>
      </c>
      <c r="AQ109" s="52">
        <v>2035</v>
      </c>
      <c r="AR109" s="52">
        <v>2036</v>
      </c>
      <c r="AS109" s="52">
        <v>2037</v>
      </c>
      <c r="AV109" s="198" cm="1">
        <f t="array" ref="AV109:BO109">years</f>
        <v>2018</v>
      </c>
      <c r="AW109" s="198">
        <v>2019</v>
      </c>
      <c r="AX109" s="198">
        <v>2020</v>
      </c>
      <c r="AY109" s="198">
        <v>2021</v>
      </c>
      <c r="AZ109" s="198">
        <v>2022</v>
      </c>
      <c r="BA109" s="198">
        <v>2023</v>
      </c>
      <c r="BB109" s="198">
        <v>2024</v>
      </c>
      <c r="BC109" s="198">
        <v>2025</v>
      </c>
      <c r="BD109" s="198">
        <v>2026</v>
      </c>
      <c r="BE109" s="198">
        <v>2027</v>
      </c>
      <c r="BF109" s="198">
        <v>2028</v>
      </c>
      <c r="BG109" s="198">
        <v>2029</v>
      </c>
      <c r="BH109" s="198">
        <v>2030</v>
      </c>
      <c r="BI109" s="198">
        <v>2031</v>
      </c>
      <c r="BJ109" s="198">
        <v>2032</v>
      </c>
      <c r="BK109" s="198">
        <v>2033</v>
      </c>
      <c r="BL109" s="198">
        <v>2034</v>
      </c>
      <c r="BM109" s="198">
        <v>2035</v>
      </c>
      <c r="BN109" s="198">
        <v>2036</v>
      </c>
      <c r="BO109" s="198">
        <v>2037</v>
      </c>
    </row>
    <row r="110" spans="1:67" x14ac:dyDescent="0.35">
      <c r="A110" s="7" t="str" cm="1">
        <f t="array" ref="A110:A125">core_elements</f>
        <v>Application server hardware</v>
      </c>
      <c r="C110" s="9">
        <v>8</v>
      </c>
      <c r="D110" s="26">
        <f>D16</f>
        <v>2</v>
      </c>
      <c r="E110" s="26">
        <f>D87+E43</f>
        <v>2</v>
      </c>
      <c r="F110" s="26">
        <f>E87+F43</f>
        <v>2</v>
      </c>
      <c r="G110" s="26">
        <f t="shared" ref="F110:W124" si="89">F87+G43</f>
        <v>2</v>
      </c>
      <c r="H110" s="26">
        <f t="shared" si="89"/>
        <v>2</v>
      </c>
      <c r="I110" s="26">
        <f t="shared" si="89"/>
        <v>2</v>
      </c>
      <c r="J110" s="26">
        <f t="shared" si="89"/>
        <v>2</v>
      </c>
      <c r="K110" s="26">
        <f t="shared" si="89"/>
        <v>2</v>
      </c>
      <c r="L110" s="26">
        <f t="shared" si="89"/>
        <v>2</v>
      </c>
      <c r="M110" s="26">
        <f t="shared" si="89"/>
        <v>2</v>
      </c>
      <c r="N110" s="26">
        <f t="shared" si="89"/>
        <v>2</v>
      </c>
      <c r="O110" s="26">
        <f t="shared" si="89"/>
        <v>2</v>
      </c>
      <c r="P110" s="26">
        <f t="shared" si="89"/>
        <v>2</v>
      </c>
      <c r="Q110" s="26">
        <f t="shared" si="89"/>
        <v>2</v>
      </c>
      <c r="R110" s="26">
        <f t="shared" si="89"/>
        <v>2</v>
      </c>
      <c r="S110" s="26">
        <f t="shared" si="89"/>
        <v>2</v>
      </c>
      <c r="T110" s="26">
        <f t="shared" si="89"/>
        <v>2</v>
      </c>
      <c r="U110" s="26">
        <f t="shared" si="89"/>
        <v>2</v>
      </c>
      <c r="V110" s="26">
        <f t="shared" si="89"/>
        <v>2</v>
      </c>
      <c r="W110" s="26">
        <f t="shared" si="89"/>
        <v>2</v>
      </c>
      <c r="Z110" s="26">
        <f>Z16</f>
        <v>2</v>
      </c>
      <c r="AA110" s="26">
        <f t="shared" ref="AA110:AP124" si="90">Z87+AA43</f>
        <v>2</v>
      </c>
      <c r="AB110" s="26">
        <f t="shared" si="90"/>
        <v>2</v>
      </c>
      <c r="AC110" s="26">
        <f t="shared" si="90"/>
        <v>2</v>
      </c>
      <c r="AD110" s="26">
        <f t="shared" si="90"/>
        <v>2</v>
      </c>
      <c r="AE110" s="26">
        <f t="shared" si="90"/>
        <v>2</v>
      </c>
      <c r="AF110" s="26">
        <f t="shared" si="90"/>
        <v>2</v>
      </c>
      <c r="AG110" s="26">
        <f t="shared" si="90"/>
        <v>2</v>
      </c>
      <c r="AH110" s="26">
        <f t="shared" si="90"/>
        <v>2</v>
      </c>
      <c r="AI110" s="26">
        <f t="shared" si="90"/>
        <v>2</v>
      </c>
      <c r="AJ110" s="26">
        <f t="shared" si="90"/>
        <v>2</v>
      </c>
      <c r="AK110" s="26">
        <f t="shared" si="90"/>
        <v>2</v>
      </c>
      <c r="AL110" s="26">
        <f t="shared" si="90"/>
        <v>2</v>
      </c>
      <c r="AM110" s="26">
        <f t="shared" si="90"/>
        <v>2</v>
      </c>
      <c r="AN110" s="26">
        <f t="shared" si="90"/>
        <v>2</v>
      </c>
      <c r="AO110" s="26">
        <f t="shared" si="90"/>
        <v>2</v>
      </c>
      <c r="AP110" s="26">
        <f t="shared" si="90"/>
        <v>2</v>
      </c>
      <c r="AQ110" s="26">
        <f t="shared" ref="AB110:AS124" si="91">AP87+AQ43</f>
        <v>2</v>
      </c>
      <c r="AR110" s="26">
        <f t="shared" si="91"/>
        <v>2</v>
      </c>
      <c r="AS110" s="26">
        <f t="shared" si="91"/>
        <v>2</v>
      </c>
      <c r="AV110" s="16">
        <f>D110-Z110</f>
        <v>0</v>
      </c>
      <c r="AW110" s="16">
        <f t="shared" ref="AW110:BO123" si="92">E110-AA110</f>
        <v>0</v>
      </c>
      <c r="AX110" s="16">
        <f t="shared" si="92"/>
        <v>0</v>
      </c>
      <c r="AY110" s="16">
        <f t="shared" si="92"/>
        <v>0</v>
      </c>
      <c r="AZ110" s="16">
        <f t="shared" si="92"/>
        <v>0</v>
      </c>
      <c r="BA110" s="16">
        <f t="shared" si="92"/>
        <v>0</v>
      </c>
      <c r="BB110" s="16">
        <f t="shared" si="92"/>
        <v>0</v>
      </c>
      <c r="BC110" s="16">
        <f t="shared" si="92"/>
        <v>0</v>
      </c>
      <c r="BD110" s="16">
        <f t="shared" si="92"/>
        <v>0</v>
      </c>
      <c r="BE110" s="16">
        <f t="shared" si="92"/>
        <v>0</v>
      </c>
      <c r="BF110" s="16">
        <f t="shared" si="92"/>
        <v>0</v>
      </c>
      <c r="BG110" s="16">
        <f t="shared" si="92"/>
        <v>0</v>
      </c>
      <c r="BH110" s="16">
        <f t="shared" si="92"/>
        <v>0</v>
      </c>
      <c r="BI110" s="16">
        <f t="shared" si="92"/>
        <v>0</v>
      </c>
      <c r="BJ110" s="16">
        <f t="shared" si="92"/>
        <v>0</v>
      </c>
      <c r="BK110" s="16">
        <f t="shared" si="92"/>
        <v>0</v>
      </c>
      <c r="BL110" s="16">
        <f t="shared" si="92"/>
        <v>0</v>
      </c>
      <c r="BM110" s="16">
        <f t="shared" si="92"/>
        <v>0</v>
      </c>
      <c r="BN110" s="16">
        <f t="shared" si="92"/>
        <v>0</v>
      </c>
      <c r="BO110" s="16">
        <f t="shared" si="92"/>
        <v>0</v>
      </c>
    </row>
    <row r="111" spans="1:67" x14ac:dyDescent="0.35">
      <c r="A111" s="7" t="str">
        <v>Application server software</v>
      </c>
      <c r="C111" s="9">
        <v>8</v>
      </c>
      <c r="D111" s="26">
        <f t="shared" ref="D111:D125" si="93">D17</f>
        <v>2</v>
      </c>
      <c r="E111" s="26">
        <f t="shared" ref="E111:T125" si="94">D88+E44</f>
        <v>2</v>
      </c>
      <c r="F111" s="26">
        <f t="shared" si="94"/>
        <v>2</v>
      </c>
      <c r="G111" s="26">
        <f t="shared" si="94"/>
        <v>2</v>
      </c>
      <c r="H111" s="26">
        <f t="shared" si="94"/>
        <v>2</v>
      </c>
      <c r="I111" s="26">
        <f t="shared" si="94"/>
        <v>2</v>
      </c>
      <c r="J111" s="26">
        <f t="shared" si="94"/>
        <v>2</v>
      </c>
      <c r="K111" s="26">
        <f t="shared" si="94"/>
        <v>2</v>
      </c>
      <c r="L111" s="26">
        <f t="shared" si="94"/>
        <v>2</v>
      </c>
      <c r="M111" s="26">
        <f t="shared" si="94"/>
        <v>2</v>
      </c>
      <c r="N111" s="26">
        <f t="shared" si="94"/>
        <v>2</v>
      </c>
      <c r="O111" s="26">
        <f t="shared" si="94"/>
        <v>2</v>
      </c>
      <c r="P111" s="26">
        <f t="shared" si="94"/>
        <v>2</v>
      </c>
      <c r="Q111" s="26">
        <f t="shared" si="94"/>
        <v>2</v>
      </c>
      <c r="R111" s="26">
        <f t="shared" si="94"/>
        <v>2</v>
      </c>
      <c r="S111" s="26">
        <f t="shared" si="94"/>
        <v>2</v>
      </c>
      <c r="T111" s="26">
        <f t="shared" si="94"/>
        <v>2</v>
      </c>
      <c r="U111" s="26">
        <f t="shared" si="89"/>
        <v>2</v>
      </c>
      <c r="V111" s="26">
        <f t="shared" si="89"/>
        <v>2</v>
      </c>
      <c r="W111" s="26">
        <f t="shared" si="89"/>
        <v>2</v>
      </c>
      <c r="Z111" s="26">
        <f t="shared" ref="Z111:Z125" si="95">Z17</f>
        <v>2</v>
      </c>
      <c r="AA111" s="26">
        <f t="shared" si="90"/>
        <v>2</v>
      </c>
      <c r="AB111" s="26">
        <f t="shared" si="91"/>
        <v>2</v>
      </c>
      <c r="AC111" s="26">
        <f t="shared" si="91"/>
        <v>2</v>
      </c>
      <c r="AD111" s="26">
        <f t="shared" si="91"/>
        <v>2</v>
      </c>
      <c r="AE111" s="26">
        <f t="shared" si="91"/>
        <v>2</v>
      </c>
      <c r="AF111" s="26">
        <f t="shared" si="91"/>
        <v>2</v>
      </c>
      <c r="AG111" s="26">
        <f t="shared" si="91"/>
        <v>2</v>
      </c>
      <c r="AH111" s="26">
        <f t="shared" si="91"/>
        <v>2</v>
      </c>
      <c r="AI111" s="26">
        <f t="shared" si="91"/>
        <v>2</v>
      </c>
      <c r="AJ111" s="26">
        <f t="shared" si="91"/>
        <v>2</v>
      </c>
      <c r="AK111" s="26">
        <f t="shared" si="91"/>
        <v>2</v>
      </c>
      <c r="AL111" s="26">
        <f t="shared" si="91"/>
        <v>2</v>
      </c>
      <c r="AM111" s="26">
        <f t="shared" si="91"/>
        <v>2</v>
      </c>
      <c r="AN111" s="26">
        <f t="shared" si="91"/>
        <v>2</v>
      </c>
      <c r="AO111" s="26">
        <f t="shared" si="91"/>
        <v>2</v>
      </c>
      <c r="AP111" s="26">
        <f t="shared" si="91"/>
        <v>2</v>
      </c>
      <c r="AQ111" s="26">
        <f t="shared" si="91"/>
        <v>2</v>
      </c>
      <c r="AR111" s="26">
        <f t="shared" si="91"/>
        <v>2</v>
      </c>
      <c r="AS111" s="26">
        <f t="shared" si="91"/>
        <v>2</v>
      </c>
      <c r="AV111" s="16">
        <f t="shared" ref="AV111:AV125" si="96">D111-Z111</f>
        <v>0</v>
      </c>
      <c r="AW111" s="16">
        <f t="shared" si="92"/>
        <v>0</v>
      </c>
      <c r="AX111" s="16">
        <f t="shared" si="92"/>
        <v>0</v>
      </c>
      <c r="AY111" s="16">
        <f t="shared" si="92"/>
        <v>0</v>
      </c>
      <c r="AZ111" s="16">
        <f t="shared" si="92"/>
        <v>0</v>
      </c>
      <c r="BA111" s="16">
        <f t="shared" si="92"/>
        <v>0</v>
      </c>
      <c r="BB111" s="16">
        <f t="shared" si="92"/>
        <v>0</v>
      </c>
      <c r="BC111" s="16">
        <f t="shared" si="92"/>
        <v>0</v>
      </c>
      <c r="BD111" s="16">
        <f t="shared" si="92"/>
        <v>0</v>
      </c>
      <c r="BE111" s="16">
        <f t="shared" si="92"/>
        <v>0</v>
      </c>
      <c r="BF111" s="16">
        <f t="shared" si="92"/>
        <v>0</v>
      </c>
      <c r="BG111" s="16">
        <f t="shared" si="92"/>
        <v>0</v>
      </c>
      <c r="BH111" s="16">
        <f t="shared" si="92"/>
        <v>0</v>
      </c>
      <c r="BI111" s="16">
        <f t="shared" si="92"/>
        <v>0</v>
      </c>
      <c r="BJ111" s="16">
        <f t="shared" si="92"/>
        <v>0</v>
      </c>
      <c r="BK111" s="16">
        <f t="shared" si="92"/>
        <v>0</v>
      </c>
      <c r="BL111" s="16">
        <f t="shared" si="92"/>
        <v>0</v>
      </c>
      <c r="BM111" s="16">
        <f t="shared" si="92"/>
        <v>0</v>
      </c>
      <c r="BN111" s="16">
        <f t="shared" si="92"/>
        <v>0</v>
      </c>
      <c r="BO111" s="16">
        <f t="shared" si="92"/>
        <v>0</v>
      </c>
    </row>
    <row r="112" spans="1:67" x14ac:dyDescent="0.35">
      <c r="A112" s="7" t="str">
        <v>Charging data function hardware</v>
      </c>
      <c r="C112" s="9">
        <v>8</v>
      </c>
      <c r="D112" s="26">
        <f t="shared" si="93"/>
        <v>2</v>
      </c>
      <c r="E112" s="26">
        <f t="shared" si="94"/>
        <v>2</v>
      </c>
      <c r="F112" s="26">
        <f t="shared" si="89"/>
        <v>2</v>
      </c>
      <c r="G112" s="26">
        <f t="shared" si="89"/>
        <v>2</v>
      </c>
      <c r="H112" s="26">
        <f t="shared" si="89"/>
        <v>2</v>
      </c>
      <c r="I112" s="26">
        <f t="shared" si="89"/>
        <v>2</v>
      </c>
      <c r="J112" s="26">
        <f t="shared" si="89"/>
        <v>2</v>
      </c>
      <c r="K112" s="26">
        <f t="shared" si="89"/>
        <v>2</v>
      </c>
      <c r="L112" s="26">
        <f t="shared" si="89"/>
        <v>2</v>
      </c>
      <c r="M112" s="26">
        <f t="shared" si="89"/>
        <v>2</v>
      </c>
      <c r="N112" s="26">
        <f t="shared" si="89"/>
        <v>2</v>
      </c>
      <c r="O112" s="26">
        <f t="shared" si="89"/>
        <v>2</v>
      </c>
      <c r="P112" s="26">
        <f t="shared" si="89"/>
        <v>2</v>
      </c>
      <c r="Q112" s="26">
        <f t="shared" si="89"/>
        <v>2</v>
      </c>
      <c r="R112" s="26">
        <f t="shared" si="89"/>
        <v>2</v>
      </c>
      <c r="S112" s="26">
        <f t="shared" si="89"/>
        <v>2</v>
      </c>
      <c r="T112" s="26">
        <f t="shared" si="89"/>
        <v>2</v>
      </c>
      <c r="U112" s="26">
        <f t="shared" si="89"/>
        <v>2</v>
      </c>
      <c r="V112" s="26">
        <f t="shared" si="89"/>
        <v>2</v>
      </c>
      <c r="W112" s="26">
        <f t="shared" si="89"/>
        <v>2</v>
      </c>
      <c r="Z112" s="26">
        <f t="shared" si="95"/>
        <v>2</v>
      </c>
      <c r="AA112" s="26">
        <f t="shared" si="90"/>
        <v>2</v>
      </c>
      <c r="AB112" s="26">
        <f t="shared" si="91"/>
        <v>2</v>
      </c>
      <c r="AC112" s="26">
        <f t="shared" si="91"/>
        <v>2</v>
      </c>
      <c r="AD112" s="26">
        <f t="shared" si="91"/>
        <v>2</v>
      </c>
      <c r="AE112" s="26">
        <f t="shared" si="91"/>
        <v>2</v>
      </c>
      <c r="AF112" s="26">
        <f t="shared" si="91"/>
        <v>2</v>
      </c>
      <c r="AG112" s="26">
        <f t="shared" si="91"/>
        <v>2</v>
      </c>
      <c r="AH112" s="26">
        <f t="shared" si="91"/>
        <v>2</v>
      </c>
      <c r="AI112" s="26">
        <f t="shared" si="91"/>
        <v>2</v>
      </c>
      <c r="AJ112" s="26">
        <f t="shared" si="91"/>
        <v>2</v>
      </c>
      <c r="AK112" s="26">
        <f t="shared" si="91"/>
        <v>2</v>
      </c>
      <c r="AL112" s="26">
        <f t="shared" si="91"/>
        <v>2</v>
      </c>
      <c r="AM112" s="26">
        <f t="shared" si="91"/>
        <v>2</v>
      </c>
      <c r="AN112" s="26">
        <f t="shared" si="91"/>
        <v>2</v>
      </c>
      <c r="AO112" s="26">
        <f t="shared" si="91"/>
        <v>2</v>
      </c>
      <c r="AP112" s="26">
        <f t="shared" si="91"/>
        <v>2</v>
      </c>
      <c r="AQ112" s="26">
        <f t="shared" si="91"/>
        <v>2</v>
      </c>
      <c r="AR112" s="26">
        <f t="shared" si="91"/>
        <v>2</v>
      </c>
      <c r="AS112" s="26">
        <f t="shared" si="91"/>
        <v>2</v>
      </c>
      <c r="AV112" s="16">
        <f t="shared" si="96"/>
        <v>0</v>
      </c>
      <c r="AW112" s="16">
        <f t="shared" si="92"/>
        <v>0</v>
      </c>
      <c r="AX112" s="16">
        <f t="shared" si="92"/>
        <v>0</v>
      </c>
      <c r="AY112" s="16">
        <f t="shared" si="92"/>
        <v>0</v>
      </c>
      <c r="AZ112" s="16">
        <f t="shared" si="92"/>
        <v>0</v>
      </c>
      <c r="BA112" s="16">
        <f t="shared" si="92"/>
        <v>0</v>
      </c>
      <c r="BB112" s="16">
        <f t="shared" si="92"/>
        <v>0</v>
      </c>
      <c r="BC112" s="16">
        <f t="shared" si="92"/>
        <v>0</v>
      </c>
      <c r="BD112" s="16">
        <f t="shared" si="92"/>
        <v>0</v>
      </c>
      <c r="BE112" s="16">
        <f t="shared" si="92"/>
        <v>0</v>
      </c>
      <c r="BF112" s="16">
        <f t="shared" si="92"/>
        <v>0</v>
      </c>
      <c r="BG112" s="16">
        <f t="shared" si="92"/>
        <v>0</v>
      </c>
      <c r="BH112" s="16">
        <f t="shared" si="92"/>
        <v>0</v>
      </c>
      <c r="BI112" s="16">
        <f t="shared" si="92"/>
        <v>0</v>
      </c>
      <c r="BJ112" s="16">
        <f t="shared" si="92"/>
        <v>0</v>
      </c>
      <c r="BK112" s="16">
        <f t="shared" si="92"/>
        <v>0</v>
      </c>
      <c r="BL112" s="16">
        <f t="shared" si="92"/>
        <v>0</v>
      </c>
      <c r="BM112" s="16">
        <f t="shared" si="92"/>
        <v>0</v>
      </c>
      <c r="BN112" s="16">
        <f t="shared" si="92"/>
        <v>0</v>
      </c>
      <c r="BO112" s="16">
        <f t="shared" si="92"/>
        <v>0</v>
      </c>
    </row>
    <row r="113" spans="1:68" x14ac:dyDescent="0.35">
      <c r="A113" s="7" t="str">
        <v>Charging data function software</v>
      </c>
      <c r="C113" s="9">
        <v>8</v>
      </c>
      <c r="D113" s="26">
        <f t="shared" si="93"/>
        <v>168</v>
      </c>
      <c r="E113" s="26">
        <f t="shared" si="94"/>
        <v>168</v>
      </c>
      <c r="F113" s="26">
        <f t="shared" si="89"/>
        <v>168</v>
      </c>
      <c r="G113" s="26">
        <f t="shared" si="89"/>
        <v>168</v>
      </c>
      <c r="H113" s="26">
        <f t="shared" si="89"/>
        <v>168</v>
      </c>
      <c r="I113" s="26">
        <f t="shared" si="89"/>
        <v>168</v>
      </c>
      <c r="J113" s="26">
        <f t="shared" si="89"/>
        <v>168</v>
      </c>
      <c r="K113" s="26">
        <f t="shared" si="89"/>
        <v>168</v>
      </c>
      <c r="L113" s="26">
        <f t="shared" si="89"/>
        <v>122</v>
      </c>
      <c r="M113" s="26">
        <f t="shared" si="89"/>
        <v>122</v>
      </c>
      <c r="N113" s="26">
        <f t="shared" si="89"/>
        <v>122</v>
      </c>
      <c r="O113" s="26">
        <f t="shared" si="89"/>
        <v>122</v>
      </c>
      <c r="P113" s="26">
        <f t="shared" si="89"/>
        <v>122</v>
      </c>
      <c r="Q113" s="26">
        <f t="shared" si="89"/>
        <v>122</v>
      </c>
      <c r="R113" s="26">
        <f t="shared" si="89"/>
        <v>122</v>
      </c>
      <c r="S113" s="26">
        <f t="shared" si="89"/>
        <v>122</v>
      </c>
      <c r="T113" s="26">
        <f t="shared" si="89"/>
        <v>122</v>
      </c>
      <c r="U113" s="26">
        <f t="shared" si="89"/>
        <v>122</v>
      </c>
      <c r="V113" s="26">
        <f t="shared" si="89"/>
        <v>122</v>
      </c>
      <c r="W113" s="26">
        <f t="shared" si="89"/>
        <v>122</v>
      </c>
      <c r="Z113" s="26">
        <f t="shared" si="95"/>
        <v>124</v>
      </c>
      <c r="AA113" s="26">
        <f t="shared" si="90"/>
        <v>124</v>
      </c>
      <c r="AB113" s="26">
        <f t="shared" si="91"/>
        <v>124</v>
      </c>
      <c r="AC113" s="26">
        <f t="shared" si="91"/>
        <v>124</v>
      </c>
      <c r="AD113" s="26">
        <f t="shared" si="91"/>
        <v>124</v>
      </c>
      <c r="AE113" s="26">
        <f t="shared" si="91"/>
        <v>124</v>
      </c>
      <c r="AF113" s="26">
        <f t="shared" si="91"/>
        <v>124</v>
      </c>
      <c r="AG113" s="26">
        <f t="shared" si="91"/>
        <v>124</v>
      </c>
      <c r="AH113" s="26">
        <f t="shared" si="91"/>
        <v>86</v>
      </c>
      <c r="AI113" s="26">
        <f t="shared" si="91"/>
        <v>86</v>
      </c>
      <c r="AJ113" s="26">
        <f t="shared" si="91"/>
        <v>86</v>
      </c>
      <c r="AK113" s="26">
        <f t="shared" si="91"/>
        <v>86</v>
      </c>
      <c r="AL113" s="26">
        <f t="shared" si="91"/>
        <v>86</v>
      </c>
      <c r="AM113" s="26">
        <f t="shared" si="91"/>
        <v>86</v>
      </c>
      <c r="AN113" s="26">
        <f t="shared" si="91"/>
        <v>86</v>
      </c>
      <c r="AO113" s="26">
        <f t="shared" si="91"/>
        <v>86</v>
      </c>
      <c r="AP113" s="26">
        <f t="shared" si="91"/>
        <v>86</v>
      </c>
      <c r="AQ113" s="26">
        <f t="shared" si="91"/>
        <v>86</v>
      </c>
      <c r="AR113" s="26">
        <f t="shared" si="91"/>
        <v>86</v>
      </c>
      <c r="AS113" s="26">
        <f t="shared" si="91"/>
        <v>86</v>
      </c>
      <c r="AV113" s="16">
        <f t="shared" si="96"/>
        <v>44</v>
      </c>
      <c r="AW113" s="16">
        <f t="shared" si="92"/>
        <v>44</v>
      </c>
      <c r="AX113" s="16">
        <f t="shared" si="92"/>
        <v>44</v>
      </c>
      <c r="AY113" s="16">
        <f t="shared" si="92"/>
        <v>44</v>
      </c>
      <c r="AZ113" s="16">
        <f t="shared" si="92"/>
        <v>44</v>
      </c>
      <c r="BA113" s="16">
        <f t="shared" si="92"/>
        <v>44</v>
      </c>
      <c r="BB113" s="16">
        <f t="shared" si="92"/>
        <v>44</v>
      </c>
      <c r="BC113" s="16">
        <f t="shared" si="92"/>
        <v>44</v>
      </c>
      <c r="BD113" s="16">
        <f t="shared" si="92"/>
        <v>36</v>
      </c>
      <c r="BE113" s="16">
        <f t="shared" si="92"/>
        <v>36</v>
      </c>
      <c r="BF113" s="16">
        <f t="shared" si="92"/>
        <v>36</v>
      </c>
      <c r="BG113" s="16">
        <f t="shared" si="92"/>
        <v>36</v>
      </c>
      <c r="BH113" s="16">
        <f t="shared" si="92"/>
        <v>36</v>
      </c>
      <c r="BI113" s="16">
        <f t="shared" si="92"/>
        <v>36</v>
      </c>
      <c r="BJ113" s="16">
        <f t="shared" si="92"/>
        <v>36</v>
      </c>
      <c r="BK113" s="16">
        <f t="shared" si="92"/>
        <v>36</v>
      </c>
      <c r="BL113" s="16">
        <f t="shared" si="92"/>
        <v>36</v>
      </c>
      <c r="BM113" s="16">
        <f t="shared" si="92"/>
        <v>36</v>
      </c>
      <c r="BN113" s="16">
        <f t="shared" si="92"/>
        <v>36</v>
      </c>
      <c r="BO113" s="16">
        <f t="shared" si="92"/>
        <v>36</v>
      </c>
    </row>
    <row r="114" spans="1:68" x14ac:dyDescent="0.35">
      <c r="A114" s="7" t="str">
        <v>Proxy - Call session control function hardware</v>
      </c>
      <c r="C114" s="9">
        <v>8</v>
      </c>
      <c r="D114" s="26">
        <f t="shared" si="93"/>
        <v>2</v>
      </c>
      <c r="E114" s="26">
        <f t="shared" si="94"/>
        <v>2</v>
      </c>
      <c r="F114" s="26">
        <f t="shared" si="89"/>
        <v>2</v>
      </c>
      <c r="G114" s="26">
        <f t="shared" si="89"/>
        <v>2</v>
      </c>
      <c r="H114" s="26">
        <f t="shared" si="89"/>
        <v>2</v>
      </c>
      <c r="I114" s="26">
        <f t="shared" si="89"/>
        <v>2</v>
      </c>
      <c r="J114" s="26">
        <f t="shared" si="89"/>
        <v>2</v>
      </c>
      <c r="K114" s="26">
        <f t="shared" si="89"/>
        <v>2</v>
      </c>
      <c r="L114" s="26">
        <f t="shared" si="89"/>
        <v>2</v>
      </c>
      <c r="M114" s="26">
        <f t="shared" si="89"/>
        <v>2</v>
      </c>
      <c r="N114" s="26">
        <f t="shared" si="89"/>
        <v>2</v>
      </c>
      <c r="O114" s="26">
        <f t="shared" si="89"/>
        <v>2</v>
      </c>
      <c r="P114" s="26">
        <f t="shared" si="89"/>
        <v>2</v>
      </c>
      <c r="Q114" s="26">
        <f t="shared" si="89"/>
        <v>2</v>
      </c>
      <c r="R114" s="26">
        <f t="shared" si="89"/>
        <v>2</v>
      </c>
      <c r="S114" s="26">
        <f t="shared" si="89"/>
        <v>2</v>
      </c>
      <c r="T114" s="26">
        <f t="shared" si="89"/>
        <v>2</v>
      </c>
      <c r="U114" s="26">
        <f t="shared" si="89"/>
        <v>2</v>
      </c>
      <c r="V114" s="26">
        <f t="shared" si="89"/>
        <v>2</v>
      </c>
      <c r="W114" s="26">
        <f t="shared" si="89"/>
        <v>2</v>
      </c>
      <c r="Z114" s="26">
        <f t="shared" si="95"/>
        <v>2</v>
      </c>
      <c r="AA114" s="26">
        <f t="shared" si="90"/>
        <v>2</v>
      </c>
      <c r="AB114" s="26">
        <f t="shared" si="91"/>
        <v>2</v>
      </c>
      <c r="AC114" s="26">
        <f t="shared" si="91"/>
        <v>2</v>
      </c>
      <c r="AD114" s="26">
        <f t="shared" si="91"/>
        <v>2</v>
      </c>
      <c r="AE114" s="26">
        <f t="shared" si="91"/>
        <v>2</v>
      </c>
      <c r="AF114" s="26">
        <f t="shared" si="91"/>
        <v>2</v>
      </c>
      <c r="AG114" s="26">
        <f t="shared" si="91"/>
        <v>2</v>
      </c>
      <c r="AH114" s="26">
        <f t="shared" si="91"/>
        <v>2</v>
      </c>
      <c r="AI114" s="26">
        <f t="shared" si="91"/>
        <v>2</v>
      </c>
      <c r="AJ114" s="26">
        <f t="shared" si="91"/>
        <v>2</v>
      </c>
      <c r="AK114" s="26">
        <f t="shared" si="91"/>
        <v>2</v>
      </c>
      <c r="AL114" s="26">
        <f t="shared" si="91"/>
        <v>2</v>
      </c>
      <c r="AM114" s="26">
        <f t="shared" si="91"/>
        <v>2</v>
      </c>
      <c r="AN114" s="26">
        <f t="shared" si="91"/>
        <v>2</v>
      </c>
      <c r="AO114" s="26">
        <f t="shared" si="91"/>
        <v>2</v>
      </c>
      <c r="AP114" s="26">
        <f t="shared" si="91"/>
        <v>2</v>
      </c>
      <c r="AQ114" s="26">
        <f t="shared" si="91"/>
        <v>2</v>
      </c>
      <c r="AR114" s="26">
        <f t="shared" si="91"/>
        <v>2</v>
      </c>
      <c r="AS114" s="26">
        <f t="shared" si="91"/>
        <v>2</v>
      </c>
      <c r="AV114" s="16">
        <f t="shared" si="96"/>
        <v>0</v>
      </c>
      <c r="AW114" s="16">
        <f t="shared" si="92"/>
        <v>0</v>
      </c>
      <c r="AX114" s="16">
        <f t="shared" si="92"/>
        <v>0</v>
      </c>
      <c r="AY114" s="16">
        <f t="shared" si="92"/>
        <v>0</v>
      </c>
      <c r="AZ114" s="16">
        <f t="shared" si="92"/>
        <v>0</v>
      </c>
      <c r="BA114" s="16">
        <f t="shared" si="92"/>
        <v>0</v>
      </c>
      <c r="BB114" s="16">
        <f t="shared" si="92"/>
        <v>0</v>
      </c>
      <c r="BC114" s="16">
        <f t="shared" si="92"/>
        <v>0</v>
      </c>
      <c r="BD114" s="16">
        <f t="shared" si="92"/>
        <v>0</v>
      </c>
      <c r="BE114" s="16">
        <f t="shared" si="92"/>
        <v>0</v>
      </c>
      <c r="BF114" s="16">
        <f t="shared" si="92"/>
        <v>0</v>
      </c>
      <c r="BG114" s="16">
        <f t="shared" si="92"/>
        <v>0</v>
      </c>
      <c r="BH114" s="16">
        <f t="shared" si="92"/>
        <v>0</v>
      </c>
      <c r="BI114" s="16">
        <f t="shared" si="92"/>
        <v>0</v>
      </c>
      <c r="BJ114" s="16">
        <f t="shared" si="92"/>
        <v>0</v>
      </c>
      <c r="BK114" s="16">
        <f t="shared" si="92"/>
        <v>0</v>
      </c>
      <c r="BL114" s="16">
        <f t="shared" si="92"/>
        <v>0</v>
      </c>
      <c r="BM114" s="16">
        <f t="shared" si="92"/>
        <v>0</v>
      </c>
      <c r="BN114" s="16">
        <f t="shared" si="92"/>
        <v>0</v>
      </c>
      <c r="BO114" s="16">
        <f t="shared" si="92"/>
        <v>0</v>
      </c>
    </row>
    <row r="115" spans="1:68" x14ac:dyDescent="0.35">
      <c r="A115" s="7" t="str">
        <v>Proxy - Call session control function software</v>
      </c>
      <c r="C115" s="9">
        <v>8</v>
      </c>
      <c r="D115" s="26">
        <f t="shared" si="93"/>
        <v>1714</v>
      </c>
      <c r="E115" s="26">
        <f t="shared" si="94"/>
        <v>1714</v>
      </c>
      <c r="F115" s="26">
        <f t="shared" si="89"/>
        <v>1714</v>
      </c>
      <c r="G115" s="26">
        <f t="shared" si="89"/>
        <v>1714</v>
      </c>
      <c r="H115" s="26">
        <f t="shared" si="89"/>
        <v>1714</v>
      </c>
      <c r="I115" s="26">
        <f t="shared" si="89"/>
        <v>1714</v>
      </c>
      <c r="J115" s="26">
        <f t="shared" si="89"/>
        <v>1714</v>
      </c>
      <c r="K115" s="26">
        <f t="shared" si="89"/>
        <v>1714</v>
      </c>
      <c r="L115" s="26">
        <f t="shared" si="89"/>
        <v>1250</v>
      </c>
      <c r="M115" s="26">
        <f t="shared" si="89"/>
        <v>1250</v>
      </c>
      <c r="N115" s="26">
        <f t="shared" si="89"/>
        <v>1250</v>
      </c>
      <c r="O115" s="26">
        <f t="shared" si="89"/>
        <v>1250</v>
      </c>
      <c r="P115" s="26">
        <f t="shared" si="89"/>
        <v>1250</v>
      </c>
      <c r="Q115" s="26">
        <f t="shared" si="89"/>
        <v>1250</v>
      </c>
      <c r="R115" s="26">
        <f t="shared" si="89"/>
        <v>1250</v>
      </c>
      <c r="S115" s="26">
        <f t="shared" si="89"/>
        <v>1250</v>
      </c>
      <c r="T115" s="26">
        <f t="shared" si="89"/>
        <v>1250</v>
      </c>
      <c r="U115" s="26">
        <f t="shared" si="89"/>
        <v>1250</v>
      </c>
      <c r="V115" s="26">
        <f t="shared" si="89"/>
        <v>1250</v>
      </c>
      <c r="W115" s="26">
        <f t="shared" si="89"/>
        <v>1250</v>
      </c>
      <c r="Z115" s="26">
        <f t="shared" si="95"/>
        <v>1266</v>
      </c>
      <c r="AA115" s="26">
        <f t="shared" si="90"/>
        <v>1266</v>
      </c>
      <c r="AB115" s="26">
        <f t="shared" si="91"/>
        <v>1266</v>
      </c>
      <c r="AC115" s="26">
        <f t="shared" si="91"/>
        <v>1266</v>
      </c>
      <c r="AD115" s="26">
        <f t="shared" si="91"/>
        <v>1266</v>
      </c>
      <c r="AE115" s="26">
        <f t="shared" si="91"/>
        <v>1266</v>
      </c>
      <c r="AF115" s="26">
        <f t="shared" si="91"/>
        <v>1266</v>
      </c>
      <c r="AG115" s="26">
        <f t="shared" si="91"/>
        <v>1266</v>
      </c>
      <c r="AH115" s="26">
        <f t="shared" si="91"/>
        <v>872</v>
      </c>
      <c r="AI115" s="26">
        <f t="shared" si="91"/>
        <v>872</v>
      </c>
      <c r="AJ115" s="26">
        <f t="shared" si="91"/>
        <v>872</v>
      </c>
      <c r="AK115" s="26">
        <f t="shared" si="91"/>
        <v>872</v>
      </c>
      <c r="AL115" s="26">
        <f t="shared" si="91"/>
        <v>872</v>
      </c>
      <c r="AM115" s="26">
        <f t="shared" si="91"/>
        <v>872</v>
      </c>
      <c r="AN115" s="26">
        <f t="shared" si="91"/>
        <v>872</v>
      </c>
      <c r="AO115" s="26">
        <f t="shared" si="91"/>
        <v>872</v>
      </c>
      <c r="AP115" s="26">
        <f t="shared" si="91"/>
        <v>872</v>
      </c>
      <c r="AQ115" s="26">
        <f t="shared" si="91"/>
        <v>872</v>
      </c>
      <c r="AR115" s="26">
        <f t="shared" si="91"/>
        <v>872</v>
      </c>
      <c r="AS115" s="26">
        <f t="shared" si="91"/>
        <v>872</v>
      </c>
      <c r="AV115" s="16">
        <f t="shared" si="96"/>
        <v>448</v>
      </c>
      <c r="AW115" s="16">
        <f t="shared" si="92"/>
        <v>448</v>
      </c>
      <c r="AX115" s="16">
        <f t="shared" si="92"/>
        <v>448</v>
      </c>
      <c r="AY115" s="16">
        <f t="shared" si="92"/>
        <v>448</v>
      </c>
      <c r="AZ115" s="16">
        <f t="shared" si="92"/>
        <v>448</v>
      </c>
      <c r="BA115" s="16">
        <f t="shared" si="92"/>
        <v>448</v>
      </c>
      <c r="BB115" s="16">
        <f t="shared" si="92"/>
        <v>448</v>
      </c>
      <c r="BC115" s="16">
        <f t="shared" si="92"/>
        <v>448</v>
      </c>
      <c r="BD115" s="16">
        <f t="shared" si="92"/>
        <v>378</v>
      </c>
      <c r="BE115" s="16">
        <f t="shared" si="92"/>
        <v>378</v>
      </c>
      <c r="BF115" s="16">
        <f t="shared" si="92"/>
        <v>378</v>
      </c>
      <c r="BG115" s="16">
        <f t="shared" si="92"/>
        <v>378</v>
      </c>
      <c r="BH115" s="16">
        <f t="shared" si="92"/>
        <v>378</v>
      </c>
      <c r="BI115" s="16">
        <f t="shared" si="92"/>
        <v>378</v>
      </c>
      <c r="BJ115" s="16">
        <f t="shared" si="92"/>
        <v>378</v>
      </c>
      <c r="BK115" s="16">
        <f t="shared" si="92"/>
        <v>378</v>
      </c>
      <c r="BL115" s="16">
        <f t="shared" si="92"/>
        <v>378</v>
      </c>
      <c r="BM115" s="16">
        <f t="shared" si="92"/>
        <v>378</v>
      </c>
      <c r="BN115" s="16">
        <f t="shared" si="92"/>
        <v>378</v>
      </c>
      <c r="BO115" s="16">
        <f t="shared" si="92"/>
        <v>378</v>
      </c>
    </row>
    <row r="116" spans="1:68" x14ac:dyDescent="0.35">
      <c r="A116" s="7" t="str">
        <v>Interrogating - Call session control function hardware</v>
      </c>
      <c r="C116" s="9">
        <v>8</v>
      </c>
      <c r="D116" s="26">
        <f t="shared" si="93"/>
        <v>2</v>
      </c>
      <c r="E116" s="26">
        <f t="shared" si="94"/>
        <v>2</v>
      </c>
      <c r="F116" s="26">
        <f t="shared" si="89"/>
        <v>2</v>
      </c>
      <c r="G116" s="26">
        <f t="shared" si="89"/>
        <v>2</v>
      </c>
      <c r="H116" s="26">
        <f t="shared" si="89"/>
        <v>2</v>
      </c>
      <c r="I116" s="26">
        <f t="shared" si="89"/>
        <v>2</v>
      </c>
      <c r="J116" s="26">
        <f t="shared" si="89"/>
        <v>2</v>
      </c>
      <c r="K116" s="26">
        <f t="shared" si="89"/>
        <v>2</v>
      </c>
      <c r="L116" s="26">
        <f t="shared" si="89"/>
        <v>2</v>
      </c>
      <c r="M116" s="26">
        <f t="shared" si="89"/>
        <v>2</v>
      </c>
      <c r="N116" s="26">
        <f t="shared" si="89"/>
        <v>2</v>
      </c>
      <c r="O116" s="26">
        <f t="shared" si="89"/>
        <v>2</v>
      </c>
      <c r="P116" s="26">
        <f t="shared" si="89"/>
        <v>2</v>
      </c>
      <c r="Q116" s="26">
        <f t="shared" si="89"/>
        <v>2</v>
      </c>
      <c r="R116" s="26">
        <f t="shared" si="89"/>
        <v>2</v>
      </c>
      <c r="S116" s="26">
        <f t="shared" si="89"/>
        <v>2</v>
      </c>
      <c r="T116" s="26">
        <f t="shared" si="89"/>
        <v>2</v>
      </c>
      <c r="U116" s="26">
        <f t="shared" si="89"/>
        <v>2</v>
      </c>
      <c r="V116" s="26">
        <f t="shared" si="89"/>
        <v>2</v>
      </c>
      <c r="W116" s="26">
        <f t="shared" si="89"/>
        <v>2</v>
      </c>
      <c r="Z116" s="26">
        <f t="shared" si="95"/>
        <v>2</v>
      </c>
      <c r="AA116" s="26">
        <f t="shared" si="90"/>
        <v>2</v>
      </c>
      <c r="AB116" s="26">
        <f t="shared" si="91"/>
        <v>2</v>
      </c>
      <c r="AC116" s="26">
        <f t="shared" si="91"/>
        <v>2</v>
      </c>
      <c r="AD116" s="26">
        <f t="shared" si="91"/>
        <v>2</v>
      </c>
      <c r="AE116" s="26">
        <f t="shared" si="91"/>
        <v>2</v>
      </c>
      <c r="AF116" s="26">
        <f t="shared" si="91"/>
        <v>2</v>
      </c>
      <c r="AG116" s="26">
        <f t="shared" si="91"/>
        <v>2</v>
      </c>
      <c r="AH116" s="26">
        <f t="shared" si="91"/>
        <v>2</v>
      </c>
      <c r="AI116" s="26">
        <f t="shared" si="91"/>
        <v>2</v>
      </c>
      <c r="AJ116" s="26">
        <f t="shared" si="91"/>
        <v>2</v>
      </c>
      <c r="AK116" s="26">
        <f t="shared" si="91"/>
        <v>2</v>
      </c>
      <c r="AL116" s="26">
        <f t="shared" si="91"/>
        <v>2</v>
      </c>
      <c r="AM116" s="26">
        <f t="shared" si="91"/>
        <v>2</v>
      </c>
      <c r="AN116" s="26">
        <f t="shared" si="91"/>
        <v>2</v>
      </c>
      <c r="AO116" s="26">
        <f t="shared" si="91"/>
        <v>2</v>
      </c>
      <c r="AP116" s="26">
        <f t="shared" si="91"/>
        <v>2</v>
      </c>
      <c r="AQ116" s="26">
        <f t="shared" si="91"/>
        <v>2</v>
      </c>
      <c r="AR116" s="26">
        <f t="shared" si="91"/>
        <v>2</v>
      </c>
      <c r="AS116" s="26">
        <f t="shared" si="91"/>
        <v>2</v>
      </c>
      <c r="AV116" s="16">
        <f t="shared" si="96"/>
        <v>0</v>
      </c>
      <c r="AW116" s="16">
        <f t="shared" si="92"/>
        <v>0</v>
      </c>
      <c r="AX116" s="16">
        <f t="shared" si="92"/>
        <v>0</v>
      </c>
      <c r="AY116" s="16">
        <f t="shared" si="92"/>
        <v>0</v>
      </c>
      <c r="AZ116" s="16">
        <f t="shared" si="92"/>
        <v>0</v>
      </c>
      <c r="BA116" s="16">
        <f t="shared" si="92"/>
        <v>0</v>
      </c>
      <c r="BB116" s="16">
        <f t="shared" si="92"/>
        <v>0</v>
      </c>
      <c r="BC116" s="16">
        <f t="shared" si="92"/>
        <v>0</v>
      </c>
      <c r="BD116" s="16">
        <f t="shared" si="92"/>
        <v>0</v>
      </c>
      <c r="BE116" s="16">
        <f t="shared" si="92"/>
        <v>0</v>
      </c>
      <c r="BF116" s="16">
        <f t="shared" si="92"/>
        <v>0</v>
      </c>
      <c r="BG116" s="16">
        <f t="shared" si="92"/>
        <v>0</v>
      </c>
      <c r="BH116" s="16">
        <f t="shared" si="92"/>
        <v>0</v>
      </c>
      <c r="BI116" s="16">
        <f t="shared" si="92"/>
        <v>0</v>
      </c>
      <c r="BJ116" s="16">
        <f t="shared" si="92"/>
        <v>0</v>
      </c>
      <c r="BK116" s="16">
        <f t="shared" si="92"/>
        <v>0</v>
      </c>
      <c r="BL116" s="16">
        <f t="shared" si="92"/>
        <v>0</v>
      </c>
      <c r="BM116" s="16">
        <f t="shared" si="92"/>
        <v>0</v>
      </c>
      <c r="BN116" s="16">
        <f t="shared" si="92"/>
        <v>0</v>
      </c>
      <c r="BO116" s="16">
        <f t="shared" si="92"/>
        <v>0</v>
      </c>
    </row>
    <row r="117" spans="1:68" x14ac:dyDescent="0.35">
      <c r="A117" s="7" t="str">
        <v>Interrogating - Call session control function software</v>
      </c>
      <c r="C117" s="9">
        <v>8</v>
      </c>
      <c r="D117" s="26">
        <f t="shared" si="93"/>
        <v>1714</v>
      </c>
      <c r="E117" s="26">
        <f t="shared" si="94"/>
        <v>1714</v>
      </c>
      <c r="F117" s="26">
        <f t="shared" si="89"/>
        <v>1714</v>
      </c>
      <c r="G117" s="26">
        <f t="shared" si="89"/>
        <v>1714</v>
      </c>
      <c r="H117" s="26">
        <f t="shared" si="89"/>
        <v>1714</v>
      </c>
      <c r="I117" s="26">
        <f t="shared" si="89"/>
        <v>1714</v>
      </c>
      <c r="J117" s="26">
        <f t="shared" si="89"/>
        <v>1714</v>
      </c>
      <c r="K117" s="26">
        <f t="shared" si="89"/>
        <v>1714</v>
      </c>
      <c r="L117" s="26">
        <f t="shared" si="89"/>
        <v>1250</v>
      </c>
      <c r="M117" s="26">
        <f t="shared" si="89"/>
        <v>1250</v>
      </c>
      <c r="N117" s="26">
        <f t="shared" si="89"/>
        <v>1250</v>
      </c>
      <c r="O117" s="26">
        <f t="shared" si="89"/>
        <v>1250</v>
      </c>
      <c r="P117" s="26">
        <f t="shared" si="89"/>
        <v>1250</v>
      </c>
      <c r="Q117" s="26">
        <f t="shared" si="89"/>
        <v>1250</v>
      </c>
      <c r="R117" s="26">
        <f t="shared" si="89"/>
        <v>1250</v>
      </c>
      <c r="S117" s="26">
        <f t="shared" si="89"/>
        <v>1250</v>
      </c>
      <c r="T117" s="26">
        <f t="shared" si="89"/>
        <v>1250</v>
      </c>
      <c r="U117" s="26">
        <f t="shared" si="89"/>
        <v>1250</v>
      </c>
      <c r="V117" s="26">
        <f t="shared" si="89"/>
        <v>1250</v>
      </c>
      <c r="W117" s="26">
        <f t="shared" si="89"/>
        <v>1250</v>
      </c>
      <c r="Z117" s="26">
        <f t="shared" si="95"/>
        <v>1266</v>
      </c>
      <c r="AA117" s="26">
        <f t="shared" si="90"/>
        <v>1266</v>
      </c>
      <c r="AB117" s="26">
        <f t="shared" si="91"/>
        <v>1266</v>
      </c>
      <c r="AC117" s="26">
        <f t="shared" si="91"/>
        <v>1266</v>
      </c>
      <c r="AD117" s="26">
        <f t="shared" si="91"/>
        <v>1266</v>
      </c>
      <c r="AE117" s="26">
        <f t="shared" si="91"/>
        <v>1266</v>
      </c>
      <c r="AF117" s="26">
        <f t="shared" si="91"/>
        <v>1266</v>
      </c>
      <c r="AG117" s="26">
        <f t="shared" si="91"/>
        <v>1266</v>
      </c>
      <c r="AH117" s="26">
        <f t="shared" si="91"/>
        <v>872</v>
      </c>
      <c r="AI117" s="26">
        <f t="shared" si="91"/>
        <v>872</v>
      </c>
      <c r="AJ117" s="26">
        <f t="shared" si="91"/>
        <v>872</v>
      </c>
      <c r="AK117" s="26">
        <f t="shared" si="91"/>
        <v>872</v>
      </c>
      <c r="AL117" s="26">
        <f t="shared" si="91"/>
        <v>872</v>
      </c>
      <c r="AM117" s="26">
        <f t="shared" si="91"/>
        <v>872</v>
      </c>
      <c r="AN117" s="26">
        <f t="shared" si="91"/>
        <v>872</v>
      </c>
      <c r="AO117" s="26">
        <f t="shared" si="91"/>
        <v>872</v>
      </c>
      <c r="AP117" s="26">
        <f t="shared" si="91"/>
        <v>872</v>
      </c>
      <c r="AQ117" s="26">
        <f t="shared" si="91"/>
        <v>872</v>
      </c>
      <c r="AR117" s="26">
        <f t="shared" si="91"/>
        <v>872</v>
      </c>
      <c r="AS117" s="26">
        <f t="shared" si="91"/>
        <v>872</v>
      </c>
      <c r="AV117" s="16">
        <f t="shared" si="96"/>
        <v>448</v>
      </c>
      <c r="AW117" s="16">
        <f t="shared" si="92"/>
        <v>448</v>
      </c>
      <c r="AX117" s="16">
        <f t="shared" si="92"/>
        <v>448</v>
      </c>
      <c r="AY117" s="16">
        <f t="shared" si="92"/>
        <v>448</v>
      </c>
      <c r="AZ117" s="16">
        <f t="shared" si="92"/>
        <v>448</v>
      </c>
      <c r="BA117" s="16">
        <f t="shared" si="92"/>
        <v>448</v>
      </c>
      <c r="BB117" s="16">
        <f t="shared" si="92"/>
        <v>448</v>
      </c>
      <c r="BC117" s="16">
        <f t="shared" si="92"/>
        <v>448</v>
      </c>
      <c r="BD117" s="16">
        <f t="shared" si="92"/>
        <v>378</v>
      </c>
      <c r="BE117" s="16">
        <f t="shared" si="92"/>
        <v>378</v>
      </c>
      <c r="BF117" s="16">
        <f t="shared" si="92"/>
        <v>378</v>
      </c>
      <c r="BG117" s="16">
        <f t="shared" si="92"/>
        <v>378</v>
      </c>
      <c r="BH117" s="16">
        <f t="shared" si="92"/>
        <v>378</v>
      </c>
      <c r="BI117" s="16">
        <f t="shared" si="92"/>
        <v>378</v>
      </c>
      <c r="BJ117" s="16">
        <f t="shared" si="92"/>
        <v>378</v>
      </c>
      <c r="BK117" s="16">
        <f t="shared" si="92"/>
        <v>378</v>
      </c>
      <c r="BL117" s="16">
        <f t="shared" si="92"/>
        <v>378</v>
      </c>
      <c r="BM117" s="16">
        <f t="shared" si="92"/>
        <v>378</v>
      </c>
      <c r="BN117" s="16">
        <f t="shared" si="92"/>
        <v>378</v>
      </c>
      <c r="BO117" s="16">
        <f t="shared" si="92"/>
        <v>378</v>
      </c>
    </row>
    <row r="118" spans="1:68" x14ac:dyDescent="0.35">
      <c r="A118" s="7" t="str">
        <v>Serving - Call session control function hardware</v>
      </c>
      <c r="C118" s="9">
        <v>8</v>
      </c>
      <c r="D118" s="26">
        <f t="shared" si="93"/>
        <v>2</v>
      </c>
      <c r="E118" s="26">
        <f t="shared" si="94"/>
        <v>2</v>
      </c>
      <c r="F118" s="26">
        <f t="shared" si="89"/>
        <v>2</v>
      </c>
      <c r="G118" s="26">
        <f t="shared" si="89"/>
        <v>2</v>
      </c>
      <c r="H118" s="26">
        <f t="shared" si="89"/>
        <v>2</v>
      </c>
      <c r="I118" s="26">
        <f t="shared" si="89"/>
        <v>2</v>
      </c>
      <c r="J118" s="26">
        <f t="shared" si="89"/>
        <v>2</v>
      </c>
      <c r="K118" s="26">
        <f t="shared" si="89"/>
        <v>2</v>
      </c>
      <c r="L118" s="26">
        <f t="shared" si="89"/>
        <v>2</v>
      </c>
      <c r="M118" s="26">
        <f t="shared" si="89"/>
        <v>2</v>
      </c>
      <c r="N118" s="26">
        <f t="shared" si="89"/>
        <v>2</v>
      </c>
      <c r="O118" s="26">
        <f t="shared" si="89"/>
        <v>2</v>
      </c>
      <c r="P118" s="26">
        <f t="shared" si="89"/>
        <v>2</v>
      </c>
      <c r="Q118" s="26">
        <f t="shared" si="89"/>
        <v>2</v>
      </c>
      <c r="R118" s="26">
        <f t="shared" si="89"/>
        <v>2</v>
      </c>
      <c r="S118" s="26">
        <f t="shared" si="89"/>
        <v>2</v>
      </c>
      <c r="T118" s="26">
        <f t="shared" si="89"/>
        <v>2</v>
      </c>
      <c r="U118" s="26">
        <f t="shared" si="89"/>
        <v>2</v>
      </c>
      <c r="V118" s="26">
        <f t="shared" si="89"/>
        <v>2</v>
      </c>
      <c r="W118" s="26">
        <f t="shared" si="89"/>
        <v>2</v>
      </c>
      <c r="Z118" s="26">
        <f t="shared" si="95"/>
        <v>2</v>
      </c>
      <c r="AA118" s="26">
        <f t="shared" si="90"/>
        <v>2</v>
      </c>
      <c r="AB118" s="26">
        <f t="shared" si="91"/>
        <v>2</v>
      </c>
      <c r="AC118" s="26">
        <f t="shared" si="91"/>
        <v>2</v>
      </c>
      <c r="AD118" s="26">
        <f t="shared" si="91"/>
        <v>2</v>
      </c>
      <c r="AE118" s="26">
        <f t="shared" si="91"/>
        <v>2</v>
      </c>
      <c r="AF118" s="26">
        <f t="shared" si="91"/>
        <v>2</v>
      </c>
      <c r="AG118" s="26">
        <f t="shared" si="91"/>
        <v>2</v>
      </c>
      <c r="AH118" s="26">
        <f t="shared" si="91"/>
        <v>2</v>
      </c>
      <c r="AI118" s="26">
        <f t="shared" si="91"/>
        <v>2</v>
      </c>
      <c r="AJ118" s="26">
        <f t="shared" si="91"/>
        <v>2</v>
      </c>
      <c r="AK118" s="26">
        <f t="shared" si="91"/>
        <v>2</v>
      </c>
      <c r="AL118" s="26">
        <f t="shared" si="91"/>
        <v>2</v>
      </c>
      <c r="AM118" s="26">
        <f t="shared" si="91"/>
        <v>2</v>
      </c>
      <c r="AN118" s="26">
        <f t="shared" si="91"/>
        <v>2</v>
      </c>
      <c r="AO118" s="26">
        <f t="shared" si="91"/>
        <v>2</v>
      </c>
      <c r="AP118" s="26">
        <f t="shared" si="91"/>
        <v>2</v>
      </c>
      <c r="AQ118" s="26">
        <f t="shared" si="91"/>
        <v>2</v>
      </c>
      <c r="AR118" s="26">
        <f t="shared" si="91"/>
        <v>2</v>
      </c>
      <c r="AS118" s="26">
        <f t="shared" si="91"/>
        <v>2</v>
      </c>
      <c r="AV118" s="16">
        <f>D118-Z118</f>
        <v>0</v>
      </c>
      <c r="AW118" s="16">
        <f t="shared" si="92"/>
        <v>0</v>
      </c>
      <c r="AX118" s="16">
        <f t="shared" si="92"/>
        <v>0</v>
      </c>
      <c r="AY118" s="16">
        <f t="shared" si="92"/>
        <v>0</v>
      </c>
      <c r="AZ118" s="16">
        <f t="shared" si="92"/>
        <v>0</v>
      </c>
      <c r="BA118" s="16">
        <f t="shared" si="92"/>
        <v>0</v>
      </c>
      <c r="BB118" s="16">
        <f t="shared" si="92"/>
        <v>0</v>
      </c>
      <c r="BC118" s="16">
        <f t="shared" si="92"/>
        <v>0</v>
      </c>
      <c r="BD118" s="16">
        <f t="shared" si="92"/>
        <v>0</v>
      </c>
      <c r="BE118" s="16">
        <f t="shared" si="92"/>
        <v>0</v>
      </c>
      <c r="BF118" s="16">
        <f t="shared" si="92"/>
        <v>0</v>
      </c>
      <c r="BG118" s="16">
        <f t="shared" si="92"/>
        <v>0</v>
      </c>
      <c r="BH118" s="16">
        <f t="shared" si="92"/>
        <v>0</v>
      </c>
      <c r="BI118" s="16">
        <f t="shared" si="92"/>
        <v>0</v>
      </c>
      <c r="BJ118" s="16">
        <f t="shared" si="92"/>
        <v>0</v>
      </c>
      <c r="BK118" s="16">
        <f t="shared" si="92"/>
        <v>0</v>
      </c>
      <c r="BL118" s="16">
        <f t="shared" si="92"/>
        <v>0</v>
      </c>
      <c r="BM118" s="16">
        <f t="shared" si="92"/>
        <v>0</v>
      </c>
      <c r="BN118" s="16">
        <f t="shared" si="92"/>
        <v>0</v>
      </c>
      <c r="BO118" s="16">
        <f t="shared" si="92"/>
        <v>0</v>
      </c>
    </row>
    <row r="119" spans="1:68" x14ac:dyDescent="0.35">
      <c r="A119" s="7" t="str">
        <v>Serving - Call session control function software</v>
      </c>
      <c r="C119" s="9">
        <v>8</v>
      </c>
      <c r="D119" s="26">
        <f t="shared" si="93"/>
        <v>1714</v>
      </c>
      <c r="E119" s="26">
        <f t="shared" si="94"/>
        <v>1714</v>
      </c>
      <c r="F119" s="26">
        <f t="shared" si="89"/>
        <v>1714</v>
      </c>
      <c r="G119" s="26">
        <f t="shared" si="89"/>
        <v>1714</v>
      </c>
      <c r="H119" s="26">
        <f t="shared" si="89"/>
        <v>1714</v>
      </c>
      <c r="I119" s="26">
        <f t="shared" si="89"/>
        <v>1714</v>
      </c>
      <c r="J119" s="26">
        <f t="shared" si="89"/>
        <v>1714</v>
      </c>
      <c r="K119" s="26">
        <f t="shared" si="89"/>
        <v>1714</v>
      </c>
      <c r="L119" s="26">
        <f t="shared" si="89"/>
        <v>1250</v>
      </c>
      <c r="M119" s="26">
        <f t="shared" si="89"/>
        <v>1250</v>
      </c>
      <c r="N119" s="26">
        <f t="shared" si="89"/>
        <v>1250</v>
      </c>
      <c r="O119" s="26">
        <f t="shared" si="89"/>
        <v>1250</v>
      </c>
      <c r="P119" s="26">
        <f t="shared" si="89"/>
        <v>1250</v>
      </c>
      <c r="Q119" s="26">
        <f t="shared" si="89"/>
        <v>1250</v>
      </c>
      <c r="R119" s="26">
        <f t="shared" si="89"/>
        <v>1250</v>
      </c>
      <c r="S119" s="26">
        <f t="shared" si="89"/>
        <v>1250</v>
      </c>
      <c r="T119" s="26">
        <f t="shared" si="89"/>
        <v>1250</v>
      </c>
      <c r="U119" s="26">
        <f t="shared" si="89"/>
        <v>1250</v>
      </c>
      <c r="V119" s="26">
        <f t="shared" si="89"/>
        <v>1250</v>
      </c>
      <c r="W119" s="26">
        <f t="shared" si="89"/>
        <v>1250</v>
      </c>
      <c r="Z119" s="26">
        <f t="shared" si="95"/>
        <v>1266</v>
      </c>
      <c r="AA119" s="26">
        <f t="shared" si="90"/>
        <v>1266</v>
      </c>
      <c r="AB119" s="26">
        <f t="shared" si="91"/>
        <v>1266</v>
      </c>
      <c r="AC119" s="26">
        <f t="shared" si="91"/>
        <v>1266</v>
      </c>
      <c r="AD119" s="26">
        <f t="shared" si="91"/>
        <v>1266</v>
      </c>
      <c r="AE119" s="26">
        <f t="shared" si="91"/>
        <v>1266</v>
      </c>
      <c r="AF119" s="26">
        <f t="shared" si="91"/>
        <v>1266</v>
      </c>
      <c r="AG119" s="26">
        <f t="shared" si="91"/>
        <v>1266</v>
      </c>
      <c r="AH119" s="26">
        <f t="shared" si="91"/>
        <v>872</v>
      </c>
      <c r="AI119" s="26">
        <f t="shared" si="91"/>
        <v>872</v>
      </c>
      <c r="AJ119" s="26">
        <f t="shared" si="91"/>
        <v>872</v>
      </c>
      <c r="AK119" s="26">
        <f t="shared" si="91"/>
        <v>872</v>
      </c>
      <c r="AL119" s="26">
        <f t="shared" si="91"/>
        <v>872</v>
      </c>
      <c r="AM119" s="26">
        <f t="shared" si="91"/>
        <v>872</v>
      </c>
      <c r="AN119" s="26">
        <f t="shared" si="91"/>
        <v>872</v>
      </c>
      <c r="AO119" s="26">
        <f t="shared" si="91"/>
        <v>872</v>
      </c>
      <c r="AP119" s="26">
        <f t="shared" si="91"/>
        <v>872</v>
      </c>
      <c r="AQ119" s="26">
        <f t="shared" si="91"/>
        <v>872</v>
      </c>
      <c r="AR119" s="26">
        <f t="shared" si="91"/>
        <v>872</v>
      </c>
      <c r="AS119" s="26">
        <f t="shared" si="91"/>
        <v>872</v>
      </c>
      <c r="AV119" s="16">
        <f t="shared" si="96"/>
        <v>448</v>
      </c>
      <c r="AW119" s="16">
        <f t="shared" si="92"/>
        <v>448</v>
      </c>
      <c r="AX119" s="16">
        <f t="shared" si="92"/>
        <v>448</v>
      </c>
      <c r="AY119" s="16">
        <f t="shared" si="92"/>
        <v>448</v>
      </c>
      <c r="AZ119" s="16">
        <f t="shared" si="92"/>
        <v>448</v>
      </c>
      <c r="BA119" s="16">
        <f t="shared" si="92"/>
        <v>448</v>
      </c>
      <c r="BB119" s="16">
        <f t="shared" si="92"/>
        <v>448</v>
      </c>
      <c r="BC119" s="16">
        <f t="shared" si="92"/>
        <v>448</v>
      </c>
      <c r="BD119" s="16">
        <f t="shared" si="92"/>
        <v>378</v>
      </c>
      <c r="BE119" s="16">
        <f t="shared" si="92"/>
        <v>378</v>
      </c>
      <c r="BF119" s="16">
        <f t="shared" si="92"/>
        <v>378</v>
      </c>
      <c r="BG119" s="16">
        <f t="shared" si="92"/>
        <v>378</v>
      </c>
      <c r="BH119" s="16">
        <f t="shared" si="92"/>
        <v>378</v>
      </c>
      <c r="BI119" s="16">
        <f t="shared" si="92"/>
        <v>378</v>
      </c>
      <c r="BJ119" s="16">
        <f t="shared" si="92"/>
        <v>378</v>
      </c>
      <c r="BK119" s="16">
        <f t="shared" si="92"/>
        <v>378</v>
      </c>
      <c r="BL119" s="16">
        <f t="shared" si="92"/>
        <v>378</v>
      </c>
      <c r="BM119" s="16">
        <f t="shared" si="92"/>
        <v>378</v>
      </c>
      <c r="BN119" s="16">
        <f t="shared" si="92"/>
        <v>378</v>
      </c>
      <c r="BO119" s="16">
        <f t="shared" si="92"/>
        <v>378</v>
      </c>
    </row>
    <row r="120" spans="1:68" x14ac:dyDescent="0.35">
      <c r="A120" s="7" t="str">
        <v>Media resource function - hardware</v>
      </c>
      <c r="C120" s="9">
        <v>8</v>
      </c>
      <c r="D120" s="26">
        <f t="shared" si="93"/>
        <v>14</v>
      </c>
      <c r="E120" s="26">
        <f t="shared" si="94"/>
        <v>14</v>
      </c>
      <c r="F120" s="26">
        <f t="shared" si="89"/>
        <v>14</v>
      </c>
      <c r="G120" s="26">
        <f t="shared" si="89"/>
        <v>14</v>
      </c>
      <c r="H120" s="26">
        <f t="shared" si="89"/>
        <v>14</v>
      </c>
      <c r="I120" s="26">
        <f t="shared" si="89"/>
        <v>14</v>
      </c>
      <c r="J120" s="26">
        <f t="shared" si="89"/>
        <v>14</v>
      </c>
      <c r="K120" s="26">
        <f t="shared" si="89"/>
        <v>14</v>
      </c>
      <c r="L120" s="26">
        <f t="shared" si="89"/>
        <v>10</v>
      </c>
      <c r="M120" s="26">
        <f t="shared" si="89"/>
        <v>10</v>
      </c>
      <c r="N120" s="26">
        <f t="shared" si="89"/>
        <v>10</v>
      </c>
      <c r="O120" s="26">
        <f t="shared" si="89"/>
        <v>10</v>
      </c>
      <c r="P120" s="26">
        <f t="shared" si="89"/>
        <v>10</v>
      </c>
      <c r="Q120" s="26">
        <f t="shared" si="89"/>
        <v>10</v>
      </c>
      <c r="R120" s="26">
        <f t="shared" si="89"/>
        <v>10</v>
      </c>
      <c r="S120" s="26">
        <f t="shared" si="89"/>
        <v>10</v>
      </c>
      <c r="T120" s="26">
        <f t="shared" si="89"/>
        <v>10</v>
      </c>
      <c r="U120" s="26">
        <f t="shared" si="89"/>
        <v>10</v>
      </c>
      <c r="V120" s="26">
        <f t="shared" si="89"/>
        <v>10</v>
      </c>
      <c r="W120" s="26">
        <f t="shared" si="89"/>
        <v>10</v>
      </c>
      <c r="Z120" s="26">
        <f t="shared" si="95"/>
        <v>8</v>
      </c>
      <c r="AA120" s="26">
        <f t="shared" si="90"/>
        <v>8</v>
      </c>
      <c r="AB120" s="26">
        <f t="shared" si="91"/>
        <v>8</v>
      </c>
      <c r="AC120" s="26">
        <f t="shared" si="91"/>
        <v>8</v>
      </c>
      <c r="AD120" s="26">
        <f t="shared" si="91"/>
        <v>8</v>
      </c>
      <c r="AE120" s="26">
        <f t="shared" si="91"/>
        <v>8</v>
      </c>
      <c r="AF120" s="26">
        <f t="shared" si="91"/>
        <v>8</v>
      </c>
      <c r="AG120" s="26">
        <f t="shared" si="91"/>
        <v>8</v>
      </c>
      <c r="AH120" s="26">
        <f t="shared" si="91"/>
        <v>6</v>
      </c>
      <c r="AI120" s="26">
        <f t="shared" si="91"/>
        <v>6</v>
      </c>
      <c r="AJ120" s="26">
        <f t="shared" si="91"/>
        <v>6</v>
      </c>
      <c r="AK120" s="26">
        <f t="shared" si="91"/>
        <v>6</v>
      </c>
      <c r="AL120" s="26">
        <f t="shared" si="91"/>
        <v>6</v>
      </c>
      <c r="AM120" s="26">
        <f t="shared" si="91"/>
        <v>6</v>
      </c>
      <c r="AN120" s="26">
        <f t="shared" si="91"/>
        <v>6</v>
      </c>
      <c r="AO120" s="26">
        <f t="shared" si="91"/>
        <v>6</v>
      </c>
      <c r="AP120" s="26">
        <f t="shared" si="91"/>
        <v>6</v>
      </c>
      <c r="AQ120" s="26">
        <f t="shared" si="91"/>
        <v>6</v>
      </c>
      <c r="AR120" s="26">
        <f t="shared" si="91"/>
        <v>6</v>
      </c>
      <c r="AS120" s="26">
        <f t="shared" si="91"/>
        <v>6</v>
      </c>
      <c r="AV120" s="16">
        <f t="shared" si="96"/>
        <v>6</v>
      </c>
      <c r="AW120" s="16">
        <f t="shared" si="92"/>
        <v>6</v>
      </c>
      <c r="AX120" s="16">
        <f t="shared" si="92"/>
        <v>6</v>
      </c>
      <c r="AY120" s="16">
        <f t="shared" si="92"/>
        <v>6</v>
      </c>
      <c r="AZ120" s="16">
        <f t="shared" si="92"/>
        <v>6</v>
      </c>
      <c r="BA120" s="16">
        <f t="shared" si="92"/>
        <v>6</v>
      </c>
      <c r="BB120" s="16">
        <f t="shared" si="92"/>
        <v>6</v>
      </c>
      <c r="BC120" s="16">
        <f t="shared" si="92"/>
        <v>6</v>
      </c>
      <c r="BD120" s="16">
        <f t="shared" si="92"/>
        <v>4</v>
      </c>
      <c r="BE120" s="16">
        <f t="shared" si="92"/>
        <v>4</v>
      </c>
      <c r="BF120" s="16">
        <f t="shared" si="92"/>
        <v>4</v>
      </c>
      <c r="BG120" s="16">
        <f t="shared" si="92"/>
        <v>4</v>
      </c>
      <c r="BH120" s="16">
        <f t="shared" si="92"/>
        <v>4</v>
      </c>
      <c r="BI120" s="16">
        <f t="shared" si="92"/>
        <v>4</v>
      </c>
      <c r="BJ120" s="16">
        <f t="shared" si="92"/>
        <v>4</v>
      </c>
      <c r="BK120" s="16">
        <f t="shared" si="92"/>
        <v>4</v>
      </c>
      <c r="BL120" s="16">
        <f t="shared" si="92"/>
        <v>4</v>
      </c>
      <c r="BM120" s="16">
        <f t="shared" si="92"/>
        <v>4</v>
      </c>
      <c r="BN120" s="16">
        <f t="shared" si="92"/>
        <v>4</v>
      </c>
      <c r="BO120" s="16">
        <f t="shared" si="92"/>
        <v>4</v>
      </c>
    </row>
    <row r="121" spans="1:68" x14ac:dyDescent="0.35">
      <c r="A121" s="7" t="str">
        <v>Media resource function - software</v>
      </c>
      <c r="C121" s="9">
        <v>8</v>
      </c>
      <c r="D121" s="26">
        <f>D27</f>
        <v>136710</v>
      </c>
      <c r="E121" s="26">
        <f t="shared" si="94"/>
        <v>136710</v>
      </c>
      <c r="F121" s="26">
        <f t="shared" si="89"/>
        <v>136710</v>
      </c>
      <c r="G121" s="26">
        <f t="shared" si="89"/>
        <v>136710</v>
      </c>
      <c r="H121" s="26">
        <f t="shared" si="89"/>
        <v>136710</v>
      </c>
      <c r="I121" s="26">
        <f t="shared" si="89"/>
        <v>136710</v>
      </c>
      <c r="J121" s="26">
        <f t="shared" si="89"/>
        <v>136710</v>
      </c>
      <c r="K121" s="26">
        <f t="shared" si="89"/>
        <v>136710</v>
      </c>
      <c r="L121" s="26">
        <f t="shared" si="89"/>
        <v>97932</v>
      </c>
      <c r="M121" s="26">
        <f t="shared" si="89"/>
        <v>97932</v>
      </c>
      <c r="N121" s="26">
        <f t="shared" si="89"/>
        <v>97932</v>
      </c>
      <c r="O121" s="26">
        <f t="shared" si="89"/>
        <v>97932</v>
      </c>
      <c r="P121" s="26">
        <f t="shared" si="89"/>
        <v>97932</v>
      </c>
      <c r="Q121" s="26">
        <f t="shared" si="89"/>
        <v>97932</v>
      </c>
      <c r="R121" s="26">
        <f t="shared" si="89"/>
        <v>97932</v>
      </c>
      <c r="S121" s="26">
        <f t="shared" si="89"/>
        <v>97932</v>
      </c>
      <c r="T121" s="26">
        <f t="shared" si="89"/>
        <v>97932</v>
      </c>
      <c r="U121" s="26">
        <f t="shared" si="89"/>
        <v>97932</v>
      </c>
      <c r="V121" s="26">
        <f t="shared" si="89"/>
        <v>97932</v>
      </c>
      <c r="W121" s="26">
        <f t="shared" si="89"/>
        <v>97932</v>
      </c>
      <c r="Z121" s="26">
        <f t="shared" si="95"/>
        <v>106550</v>
      </c>
      <c r="AA121" s="26">
        <f t="shared" si="90"/>
        <v>106550</v>
      </c>
      <c r="AB121" s="26">
        <f t="shared" si="91"/>
        <v>106550</v>
      </c>
      <c r="AC121" s="26">
        <f t="shared" si="91"/>
        <v>106550</v>
      </c>
      <c r="AD121" s="26">
        <f t="shared" si="91"/>
        <v>106550</v>
      </c>
      <c r="AE121" s="26">
        <f t="shared" si="91"/>
        <v>106550</v>
      </c>
      <c r="AF121" s="26">
        <f t="shared" si="91"/>
        <v>106550</v>
      </c>
      <c r="AG121" s="26">
        <f t="shared" si="91"/>
        <v>106550</v>
      </c>
      <c r="AH121" s="26">
        <f t="shared" si="91"/>
        <v>72418</v>
      </c>
      <c r="AI121" s="26">
        <f t="shared" si="91"/>
        <v>72418</v>
      </c>
      <c r="AJ121" s="26">
        <f t="shared" si="91"/>
        <v>72418</v>
      </c>
      <c r="AK121" s="26">
        <f t="shared" si="91"/>
        <v>72418</v>
      </c>
      <c r="AL121" s="26">
        <f t="shared" si="91"/>
        <v>72418</v>
      </c>
      <c r="AM121" s="26">
        <f t="shared" si="91"/>
        <v>72418</v>
      </c>
      <c r="AN121" s="26">
        <f t="shared" si="91"/>
        <v>72418</v>
      </c>
      <c r="AO121" s="26">
        <f t="shared" si="91"/>
        <v>72418</v>
      </c>
      <c r="AP121" s="26">
        <f t="shared" si="91"/>
        <v>72418</v>
      </c>
      <c r="AQ121" s="26">
        <f t="shared" si="91"/>
        <v>72418</v>
      </c>
      <c r="AR121" s="26">
        <f t="shared" si="91"/>
        <v>72418</v>
      </c>
      <c r="AS121" s="26">
        <f t="shared" si="91"/>
        <v>72418</v>
      </c>
      <c r="AV121" s="16">
        <f t="shared" si="96"/>
        <v>30160</v>
      </c>
      <c r="AW121" s="16">
        <f t="shared" si="92"/>
        <v>30160</v>
      </c>
      <c r="AX121" s="16">
        <f t="shared" si="92"/>
        <v>30160</v>
      </c>
      <c r="AY121" s="16">
        <f t="shared" si="92"/>
        <v>30160</v>
      </c>
      <c r="AZ121" s="16">
        <f t="shared" si="92"/>
        <v>30160</v>
      </c>
      <c r="BA121" s="16">
        <f t="shared" si="92"/>
        <v>30160</v>
      </c>
      <c r="BB121" s="16">
        <f t="shared" si="92"/>
        <v>30160</v>
      </c>
      <c r="BC121" s="16">
        <f t="shared" si="92"/>
        <v>30160</v>
      </c>
      <c r="BD121" s="16">
        <f t="shared" si="92"/>
        <v>25514</v>
      </c>
      <c r="BE121" s="16">
        <f t="shared" si="92"/>
        <v>25514</v>
      </c>
      <c r="BF121" s="16">
        <f t="shared" si="92"/>
        <v>25514</v>
      </c>
      <c r="BG121" s="16">
        <f t="shared" si="92"/>
        <v>25514</v>
      </c>
      <c r="BH121" s="16">
        <f t="shared" si="92"/>
        <v>25514</v>
      </c>
      <c r="BI121" s="16">
        <f t="shared" si="92"/>
        <v>25514</v>
      </c>
      <c r="BJ121" s="16">
        <f t="shared" si="92"/>
        <v>25514</v>
      </c>
      <c r="BK121" s="16">
        <f t="shared" si="92"/>
        <v>25514</v>
      </c>
      <c r="BL121" s="16">
        <f t="shared" si="92"/>
        <v>25514</v>
      </c>
      <c r="BM121" s="16">
        <f t="shared" si="92"/>
        <v>25514</v>
      </c>
      <c r="BN121" s="16">
        <f t="shared" si="92"/>
        <v>25514</v>
      </c>
      <c r="BO121" s="16">
        <f t="shared" si="92"/>
        <v>25514</v>
      </c>
    </row>
    <row r="122" spans="1:68" x14ac:dyDescent="0.35">
      <c r="A122" s="7" t="str">
        <v>Access session border controller - hardware</v>
      </c>
      <c r="C122" s="9">
        <v>8</v>
      </c>
      <c r="D122" s="26">
        <f t="shared" si="93"/>
        <v>6</v>
      </c>
      <c r="E122" s="26">
        <f t="shared" si="94"/>
        <v>6</v>
      </c>
      <c r="F122" s="26">
        <f t="shared" si="89"/>
        <v>6</v>
      </c>
      <c r="G122" s="26">
        <f t="shared" si="89"/>
        <v>6</v>
      </c>
      <c r="H122" s="26">
        <f t="shared" si="89"/>
        <v>6</v>
      </c>
      <c r="I122" s="26">
        <f t="shared" si="89"/>
        <v>6</v>
      </c>
      <c r="J122" s="26">
        <f t="shared" si="89"/>
        <v>6</v>
      </c>
      <c r="K122" s="26">
        <f t="shared" si="89"/>
        <v>6</v>
      </c>
      <c r="L122" s="26">
        <f t="shared" si="89"/>
        <v>4</v>
      </c>
      <c r="M122" s="26">
        <f t="shared" si="89"/>
        <v>4</v>
      </c>
      <c r="N122" s="26">
        <f t="shared" si="89"/>
        <v>4</v>
      </c>
      <c r="O122" s="26">
        <f t="shared" si="89"/>
        <v>4</v>
      </c>
      <c r="P122" s="26">
        <f t="shared" si="89"/>
        <v>4</v>
      </c>
      <c r="Q122" s="26">
        <f t="shared" si="89"/>
        <v>4</v>
      </c>
      <c r="R122" s="26">
        <f t="shared" si="89"/>
        <v>4</v>
      </c>
      <c r="S122" s="26">
        <f t="shared" si="89"/>
        <v>4</v>
      </c>
      <c r="T122" s="26">
        <f t="shared" si="89"/>
        <v>4</v>
      </c>
      <c r="U122" s="26">
        <f t="shared" si="89"/>
        <v>4</v>
      </c>
      <c r="V122" s="26">
        <f t="shared" si="89"/>
        <v>4</v>
      </c>
      <c r="W122" s="26">
        <f t="shared" si="89"/>
        <v>4</v>
      </c>
      <c r="Z122" s="26">
        <f t="shared" si="95"/>
        <v>4</v>
      </c>
      <c r="AA122" s="26">
        <f t="shared" si="90"/>
        <v>4</v>
      </c>
      <c r="AB122" s="26">
        <f t="shared" si="91"/>
        <v>4</v>
      </c>
      <c r="AC122" s="26">
        <f t="shared" si="91"/>
        <v>4</v>
      </c>
      <c r="AD122" s="26">
        <f t="shared" si="91"/>
        <v>4</v>
      </c>
      <c r="AE122" s="26">
        <f t="shared" si="91"/>
        <v>4</v>
      </c>
      <c r="AF122" s="26">
        <f t="shared" si="91"/>
        <v>4</v>
      </c>
      <c r="AG122" s="26">
        <f t="shared" si="91"/>
        <v>4</v>
      </c>
      <c r="AH122" s="26">
        <f t="shared" si="91"/>
        <v>4</v>
      </c>
      <c r="AI122" s="26">
        <f t="shared" si="91"/>
        <v>4</v>
      </c>
      <c r="AJ122" s="26">
        <f t="shared" si="91"/>
        <v>4</v>
      </c>
      <c r="AK122" s="26">
        <f t="shared" si="91"/>
        <v>4</v>
      </c>
      <c r="AL122" s="26">
        <f t="shared" si="91"/>
        <v>4</v>
      </c>
      <c r="AM122" s="26">
        <f t="shared" si="91"/>
        <v>4</v>
      </c>
      <c r="AN122" s="26">
        <f t="shared" si="91"/>
        <v>4</v>
      </c>
      <c r="AO122" s="26">
        <f t="shared" si="91"/>
        <v>4</v>
      </c>
      <c r="AP122" s="26">
        <f t="shared" si="91"/>
        <v>4</v>
      </c>
      <c r="AQ122" s="26">
        <f t="shared" si="91"/>
        <v>4</v>
      </c>
      <c r="AR122" s="26">
        <f t="shared" si="91"/>
        <v>4</v>
      </c>
      <c r="AS122" s="26">
        <f t="shared" si="91"/>
        <v>4</v>
      </c>
      <c r="AV122" s="16">
        <f t="shared" si="96"/>
        <v>2</v>
      </c>
      <c r="AW122" s="16">
        <f t="shared" si="92"/>
        <v>2</v>
      </c>
      <c r="AX122" s="16">
        <f t="shared" si="92"/>
        <v>2</v>
      </c>
      <c r="AY122" s="16">
        <f t="shared" si="92"/>
        <v>2</v>
      </c>
      <c r="AZ122" s="16">
        <f t="shared" si="92"/>
        <v>2</v>
      </c>
      <c r="BA122" s="16">
        <f t="shared" si="92"/>
        <v>2</v>
      </c>
      <c r="BB122" s="16">
        <f t="shared" si="92"/>
        <v>2</v>
      </c>
      <c r="BC122" s="16">
        <f t="shared" si="92"/>
        <v>2</v>
      </c>
      <c r="BD122" s="16">
        <f t="shared" si="92"/>
        <v>0</v>
      </c>
      <c r="BE122" s="16">
        <f t="shared" si="92"/>
        <v>0</v>
      </c>
      <c r="BF122" s="16">
        <f t="shared" si="92"/>
        <v>0</v>
      </c>
      <c r="BG122" s="16">
        <f t="shared" si="92"/>
        <v>0</v>
      </c>
      <c r="BH122" s="16">
        <f t="shared" si="92"/>
        <v>0</v>
      </c>
      <c r="BI122" s="16">
        <f t="shared" si="92"/>
        <v>0</v>
      </c>
      <c r="BJ122" s="16">
        <f t="shared" si="92"/>
        <v>0</v>
      </c>
      <c r="BK122" s="16">
        <f t="shared" si="92"/>
        <v>0</v>
      </c>
      <c r="BL122" s="16">
        <f t="shared" si="92"/>
        <v>0</v>
      </c>
      <c r="BM122" s="16">
        <f t="shared" si="92"/>
        <v>0</v>
      </c>
      <c r="BN122" s="16">
        <f t="shared" si="92"/>
        <v>0</v>
      </c>
      <c r="BO122" s="16">
        <f t="shared" si="92"/>
        <v>0</v>
      </c>
    </row>
    <row r="123" spans="1:68" x14ac:dyDescent="0.35">
      <c r="A123" s="7" t="str">
        <v>Access session border controller - software</v>
      </c>
      <c r="C123" s="9">
        <v>8</v>
      </c>
      <c r="D123" s="26">
        <f t="shared" si="93"/>
        <v>10</v>
      </c>
      <c r="E123" s="26">
        <f t="shared" si="94"/>
        <v>10</v>
      </c>
      <c r="F123" s="26">
        <f t="shared" si="89"/>
        <v>10</v>
      </c>
      <c r="G123" s="26">
        <f t="shared" si="89"/>
        <v>10</v>
      </c>
      <c r="H123" s="26">
        <f t="shared" si="89"/>
        <v>10</v>
      </c>
      <c r="I123" s="26">
        <f t="shared" si="89"/>
        <v>10</v>
      </c>
      <c r="J123" s="26">
        <f t="shared" si="89"/>
        <v>10</v>
      </c>
      <c r="K123" s="26">
        <f t="shared" si="89"/>
        <v>10</v>
      </c>
      <c r="L123" s="26">
        <f t="shared" si="89"/>
        <v>8</v>
      </c>
      <c r="M123" s="26">
        <f t="shared" si="89"/>
        <v>8</v>
      </c>
      <c r="N123" s="26">
        <f t="shared" si="89"/>
        <v>8</v>
      </c>
      <c r="O123" s="26">
        <f t="shared" si="89"/>
        <v>8</v>
      </c>
      <c r="P123" s="26">
        <f t="shared" si="89"/>
        <v>8</v>
      </c>
      <c r="Q123" s="26">
        <f t="shared" si="89"/>
        <v>8</v>
      </c>
      <c r="R123" s="26">
        <f t="shared" si="89"/>
        <v>8</v>
      </c>
      <c r="S123" s="26">
        <f t="shared" si="89"/>
        <v>8</v>
      </c>
      <c r="T123" s="26">
        <f t="shared" si="89"/>
        <v>8</v>
      </c>
      <c r="U123" s="26">
        <f t="shared" si="89"/>
        <v>8</v>
      </c>
      <c r="V123" s="26">
        <f t="shared" si="89"/>
        <v>8</v>
      </c>
      <c r="W123" s="26">
        <f t="shared" si="89"/>
        <v>8</v>
      </c>
      <c r="Z123" s="26">
        <f t="shared" si="95"/>
        <v>8</v>
      </c>
      <c r="AA123" s="26">
        <f t="shared" si="90"/>
        <v>8</v>
      </c>
      <c r="AB123" s="26">
        <f t="shared" si="91"/>
        <v>8</v>
      </c>
      <c r="AC123" s="26">
        <f t="shared" si="91"/>
        <v>8</v>
      </c>
      <c r="AD123" s="26">
        <f t="shared" si="91"/>
        <v>8</v>
      </c>
      <c r="AE123" s="26">
        <f t="shared" si="91"/>
        <v>8</v>
      </c>
      <c r="AF123" s="26">
        <f t="shared" si="91"/>
        <v>8</v>
      </c>
      <c r="AG123" s="26">
        <f t="shared" si="91"/>
        <v>8</v>
      </c>
      <c r="AH123" s="26">
        <f t="shared" si="91"/>
        <v>6</v>
      </c>
      <c r="AI123" s="26">
        <f t="shared" si="91"/>
        <v>6</v>
      </c>
      <c r="AJ123" s="26">
        <f t="shared" si="91"/>
        <v>6</v>
      </c>
      <c r="AK123" s="26">
        <f t="shared" si="91"/>
        <v>6</v>
      </c>
      <c r="AL123" s="26">
        <f t="shared" si="91"/>
        <v>6</v>
      </c>
      <c r="AM123" s="26">
        <f t="shared" si="91"/>
        <v>6</v>
      </c>
      <c r="AN123" s="26">
        <f t="shared" si="91"/>
        <v>6</v>
      </c>
      <c r="AO123" s="26">
        <f t="shared" si="91"/>
        <v>6</v>
      </c>
      <c r="AP123" s="26">
        <f t="shared" si="91"/>
        <v>6</v>
      </c>
      <c r="AQ123" s="26">
        <f t="shared" si="91"/>
        <v>6</v>
      </c>
      <c r="AR123" s="26">
        <f t="shared" si="91"/>
        <v>6</v>
      </c>
      <c r="AS123" s="26">
        <f t="shared" si="91"/>
        <v>6</v>
      </c>
      <c r="AV123" s="16">
        <f t="shared" si="96"/>
        <v>2</v>
      </c>
      <c r="AW123" s="16">
        <f t="shared" si="92"/>
        <v>2</v>
      </c>
      <c r="AX123" s="16">
        <f t="shared" si="92"/>
        <v>2</v>
      </c>
      <c r="AY123" s="16">
        <f t="shared" si="92"/>
        <v>2</v>
      </c>
      <c r="AZ123" s="16">
        <f t="shared" si="92"/>
        <v>2</v>
      </c>
      <c r="BA123" s="16">
        <f t="shared" si="92"/>
        <v>2</v>
      </c>
      <c r="BB123" s="16">
        <f t="shared" si="92"/>
        <v>2</v>
      </c>
      <c r="BC123" s="16">
        <f t="shared" si="92"/>
        <v>2</v>
      </c>
      <c r="BD123" s="16">
        <f t="shared" si="92"/>
        <v>2</v>
      </c>
      <c r="BE123" s="16">
        <f t="shared" ref="BE123:BE125" si="97">M123-AI123</f>
        <v>2</v>
      </c>
      <c r="BF123" s="16">
        <f t="shared" ref="BF123:BF125" si="98">N123-AJ123</f>
        <v>2</v>
      </c>
      <c r="BG123" s="16">
        <f t="shared" ref="BG123:BG125" si="99">O123-AK123</f>
        <v>2</v>
      </c>
      <c r="BH123" s="16">
        <f t="shared" ref="BH123:BH125" si="100">P123-AL123</f>
        <v>2</v>
      </c>
      <c r="BI123" s="16">
        <f t="shared" ref="BI123:BI125" si="101">Q123-AM123</f>
        <v>2</v>
      </c>
      <c r="BJ123" s="16">
        <f t="shared" ref="BJ123:BJ125" si="102">R123-AN123</f>
        <v>2</v>
      </c>
      <c r="BK123" s="16">
        <f t="shared" ref="BK123:BK125" si="103">S123-AO123</f>
        <v>2</v>
      </c>
      <c r="BL123" s="16">
        <f t="shared" ref="BL123:BL125" si="104">T123-AP123</f>
        <v>2</v>
      </c>
      <c r="BM123" s="16">
        <f t="shared" ref="BM123:BM125" si="105">U123-AQ123</f>
        <v>2</v>
      </c>
      <c r="BN123" s="16">
        <f t="shared" ref="BN123:BN125" si="106">V123-AR123</f>
        <v>2</v>
      </c>
      <c r="BO123" s="16">
        <f t="shared" ref="BO123:BO125" si="107">W123-AS123</f>
        <v>2</v>
      </c>
    </row>
    <row r="124" spans="1:68" x14ac:dyDescent="0.35">
      <c r="A124" s="7" t="str">
        <v>Internet exchange point session border controller - hardware</v>
      </c>
      <c r="C124" s="9">
        <v>8</v>
      </c>
      <c r="D124" s="26">
        <f t="shared" si="93"/>
        <v>4</v>
      </c>
      <c r="E124" s="26">
        <f t="shared" si="94"/>
        <v>4</v>
      </c>
      <c r="F124" s="26">
        <f t="shared" si="89"/>
        <v>4</v>
      </c>
      <c r="G124" s="26">
        <f t="shared" si="89"/>
        <v>4</v>
      </c>
      <c r="H124" s="26">
        <f t="shared" si="89"/>
        <v>4</v>
      </c>
      <c r="I124" s="26">
        <f t="shared" si="89"/>
        <v>4</v>
      </c>
      <c r="J124" s="26">
        <f t="shared" si="89"/>
        <v>4</v>
      </c>
      <c r="K124" s="26">
        <f t="shared" si="89"/>
        <v>4</v>
      </c>
      <c r="L124" s="26">
        <f t="shared" si="89"/>
        <v>4</v>
      </c>
      <c r="M124" s="26">
        <f t="shared" si="89"/>
        <v>4</v>
      </c>
      <c r="N124" s="26">
        <f t="shared" si="89"/>
        <v>4</v>
      </c>
      <c r="O124" s="26">
        <f t="shared" si="89"/>
        <v>4</v>
      </c>
      <c r="P124" s="26">
        <f t="shared" si="89"/>
        <v>4</v>
      </c>
      <c r="Q124" s="26">
        <f t="shared" si="89"/>
        <v>4</v>
      </c>
      <c r="R124" s="26">
        <f t="shared" si="89"/>
        <v>4</v>
      </c>
      <c r="S124" s="26">
        <f t="shared" si="89"/>
        <v>4</v>
      </c>
      <c r="T124" s="26">
        <f t="shared" si="89"/>
        <v>4</v>
      </c>
      <c r="U124" s="26">
        <f t="shared" si="89"/>
        <v>4</v>
      </c>
      <c r="V124" s="26">
        <f t="shared" si="89"/>
        <v>4</v>
      </c>
      <c r="W124" s="26">
        <f t="shared" si="89"/>
        <v>4</v>
      </c>
      <c r="Z124" s="26">
        <f t="shared" si="95"/>
        <v>4</v>
      </c>
      <c r="AA124" s="26">
        <f t="shared" si="90"/>
        <v>4</v>
      </c>
      <c r="AB124" s="26">
        <f t="shared" si="91"/>
        <v>4</v>
      </c>
      <c r="AC124" s="26">
        <f t="shared" si="91"/>
        <v>4</v>
      </c>
      <c r="AD124" s="26">
        <f t="shared" si="91"/>
        <v>4</v>
      </c>
      <c r="AE124" s="26">
        <f t="shared" si="91"/>
        <v>4</v>
      </c>
      <c r="AF124" s="26">
        <f t="shared" si="91"/>
        <v>4</v>
      </c>
      <c r="AG124" s="26">
        <f t="shared" si="91"/>
        <v>4</v>
      </c>
      <c r="AH124" s="26">
        <f t="shared" si="91"/>
        <v>2</v>
      </c>
      <c r="AI124" s="26">
        <f t="shared" si="91"/>
        <v>2</v>
      </c>
      <c r="AJ124" s="26">
        <f t="shared" si="91"/>
        <v>2</v>
      </c>
      <c r="AK124" s="26">
        <f t="shared" si="91"/>
        <v>2</v>
      </c>
      <c r="AL124" s="26">
        <f t="shared" si="91"/>
        <v>2</v>
      </c>
      <c r="AM124" s="26">
        <f t="shared" si="91"/>
        <v>2</v>
      </c>
      <c r="AN124" s="26">
        <f t="shared" si="91"/>
        <v>2</v>
      </c>
      <c r="AO124" s="26">
        <f t="shared" si="91"/>
        <v>2</v>
      </c>
      <c r="AP124" s="26">
        <f t="shared" si="91"/>
        <v>2</v>
      </c>
      <c r="AQ124" s="26">
        <f t="shared" si="91"/>
        <v>2</v>
      </c>
      <c r="AR124" s="26">
        <f t="shared" si="91"/>
        <v>2</v>
      </c>
      <c r="AS124" s="26">
        <f t="shared" si="91"/>
        <v>2</v>
      </c>
      <c r="AV124" s="16">
        <f t="shared" si="96"/>
        <v>0</v>
      </c>
      <c r="AW124" s="16">
        <f t="shared" ref="AW124:AW125" si="108">E124-AA124</f>
        <v>0</v>
      </c>
      <c r="AX124" s="16">
        <f t="shared" ref="AX124:AX125" si="109">F124-AB124</f>
        <v>0</v>
      </c>
      <c r="AY124" s="16">
        <f t="shared" ref="AY124:AY125" si="110">G124-AC124</f>
        <v>0</v>
      </c>
      <c r="AZ124" s="16">
        <f t="shared" ref="AZ124:AZ125" si="111">H124-AD124</f>
        <v>0</v>
      </c>
      <c r="BA124" s="16">
        <f t="shared" ref="BA124:BA125" si="112">I124-AE124</f>
        <v>0</v>
      </c>
      <c r="BB124" s="16">
        <f t="shared" ref="BB124:BB125" si="113">J124-AF124</f>
        <v>0</v>
      </c>
      <c r="BC124" s="16">
        <f t="shared" ref="BC124:BC125" si="114">K124-AG124</f>
        <v>0</v>
      </c>
      <c r="BD124" s="16">
        <f t="shared" ref="BD124:BD125" si="115">L124-AH124</f>
        <v>2</v>
      </c>
      <c r="BE124" s="16">
        <f t="shared" si="97"/>
        <v>2</v>
      </c>
      <c r="BF124" s="16">
        <f t="shared" si="98"/>
        <v>2</v>
      </c>
      <c r="BG124" s="16">
        <f t="shared" si="99"/>
        <v>2</v>
      </c>
      <c r="BH124" s="16">
        <f t="shared" si="100"/>
        <v>2</v>
      </c>
      <c r="BI124" s="16">
        <f t="shared" si="101"/>
        <v>2</v>
      </c>
      <c r="BJ124" s="16">
        <f t="shared" si="102"/>
        <v>2</v>
      </c>
      <c r="BK124" s="16">
        <f t="shared" si="103"/>
        <v>2</v>
      </c>
      <c r="BL124" s="16">
        <f t="shared" si="104"/>
        <v>2</v>
      </c>
      <c r="BM124" s="16">
        <f t="shared" si="105"/>
        <v>2</v>
      </c>
      <c r="BN124" s="16">
        <f t="shared" si="106"/>
        <v>2</v>
      </c>
      <c r="BO124" s="16">
        <f t="shared" si="107"/>
        <v>2</v>
      </c>
    </row>
    <row r="125" spans="1:68" x14ac:dyDescent="0.35">
      <c r="A125" s="7" t="str">
        <v>Internet exchange point session border controller - software</v>
      </c>
      <c r="C125" s="9">
        <v>8</v>
      </c>
      <c r="D125" s="26">
        <f t="shared" si="93"/>
        <v>8</v>
      </c>
      <c r="E125" s="26">
        <f t="shared" si="94"/>
        <v>8</v>
      </c>
      <c r="F125" s="26">
        <f t="shared" ref="F125:W125" si="116">E102+F58</f>
        <v>8</v>
      </c>
      <c r="G125" s="26">
        <f t="shared" si="116"/>
        <v>8</v>
      </c>
      <c r="H125" s="26">
        <f t="shared" si="116"/>
        <v>8</v>
      </c>
      <c r="I125" s="26">
        <f t="shared" si="116"/>
        <v>8</v>
      </c>
      <c r="J125" s="26">
        <f t="shared" si="116"/>
        <v>8</v>
      </c>
      <c r="K125" s="26">
        <f t="shared" si="116"/>
        <v>8</v>
      </c>
      <c r="L125" s="26">
        <f t="shared" si="116"/>
        <v>6</v>
      </c>
      <c r="M125" s="26">
        <f t="shared" si="116"/>
        <v>6</v>
      </c>
      <c r="N125" s="26">
        <f t="shared" si="116"/>
        <v>6</v>
      </c>
      <c r="O125" s="26">
        <f t="shared" si="116"/>
        <v>6</v>
      </c>
      <c r="P125" s="26">
        <f t="shared" si="116"/>
        <v>6</v>
      </c>
      <c r="Q125" s="26">
        <f t="shared" si="116"/>
        <v>6</v>
      </c>
      <c r="R125" s="26">
        <f t="shared" si="116"/>
        <v>6</v>
      </c>
      <c r="S125" s="26">
        <f t="shared" si="116"/>
        <v>6</v>
      </c>
      <c r="T125" s="26">
        <f t="shared" si="116"/>
        <v>6</v>
      </c>
      <c r="U125" s="26">
        <f t="shared" si="116"/>
        <v>6</v>
      </c>
      <c r="V125" s="26">
        <f t="shared" si="116"/>
        <v>6</v>
      </c>
      <c r="W125" s="26">
        <f t="shared" si="116"/>
        <v>6</v>
      </c>
      <c r="X125" s="15" t="s">
        <v>371</v>
      </c>
      <c r="Z125" s="26">
        <f t="shared" si="95"/>
        <v>6</v>
      </c>
      <c r="AA125" s="26">
        <f t="shared" ref="AA125:AS125" si="117">Z102+AA58</f>
        <v>6</v>
      </c>
      <c r="AB125" s="26">
        <f t="shared" si="117"/>
        <v>6</v>
      </c>
      <c r="AC125" s="26">
        <f t="shared" si="117"/>
        <v>6</v>
      </c>
      <c r="AD125" s="26">
        <f t="shared" si="117"/>
        <v>6</v>
      </c>
      <c r="AE125" s="26">
        <f t="shared" si="117"/>
        <v>6</v>
      </c>
      <c r="AF125" s="26">
        <f t="shared" si="117"/>
        <v>6</v>
      </c>
      <c r="AG125" s="26">
        <f t="shared" si="117"/>
        <v>6</v>
      </c>
      <c r="AH125" s="26">
        <f t="shared" si="117"/>
        <v>4</v>
      </c>
      <c r="AI125" s="26">
        <f t="shared" si="117"/>
        <v>4</v>
      </c>
      <c r="AJ125" s="26">
        <f t="shared" si="117"/>
        <v>4</v>
      </c>
      <c r="AK125" s="26">
        <f t="shared" si="117"/>
        <v>4</v>
      </c>
      <c r="AL125" s="26">
        <f t="shared" si="117"/>
        <v>4</v>
      </c>
      <c r="AM125" s="26">
        <f t="shared" si="117"/>
        <v>4</v>
      </c>
      <c r="AN125" s="26">
        <f t="shared" si="117"/>
        <v>4</v>
      </c>
      <c r="AO125" s="26">
        <f t="shared" si="117"/>
        <v>4</v>
      </c>
      <c r="AP125" s="26">
        <f t="shared" si="117"/>
        <v>4</v>
      </c>
      <c r="AQ125" s="26">
        <f t="shared" si="117"/>
        <v>4</v>
      </c>
      <c r="AR125" s="26">
        <f t="shared" si="117"/>
        <v>4</v>
      </c>
      <c r="AS125" s="26">
        <f t="shared" si="117"/>
        <v>4</v>
      </c>
      <c r="AT125" s="15" t="s">
        <v>372</v>
      </c>
      <c r="AV125" s="16">
        <f t="shared" si="96"/>
        <v>2</v>
      </c>
      <c r="AW125" s="16">
        <f t="shared" si="108"/>
        <v>2</v>
      </c>
      <c r="AX125" s="16">
        <f t="shared" si="109"/>
        <v>2</v>
      </c>
      <c r="AY125" s="16">
        <f t="shared" si="110"/>
        <v>2</v>
      </c>
      <c r="AZ125" s="16">
        <f t="shared" si="111"/>
        <v>2</v>
      </c>
      <c r="BA125" s="16">
        <f t="shared" si="112"/>
        <v>2</v>
      </c>
      <c r="BB125" s="16">
        <f t="shared" si="113"/>
        <v>2</v>
      </c>
      <c r="BC125" s="16">
        <f t="shared" si="114"/>
        <v>2</v>
      </c>
      <c r="BD125" s="16">
        <f t="shared" si="115"/>
        <v>2</v>
      </c>
      <c r="BE125" s="16">
        <f t="shared" si="97"/>
        <v>2</v>
      </c>
      <c r="BF125" s="16">
        <f t="shared" si="98"/>
        <v>2</v>
      </c>
      <c r="BG125" s="16">
        <f t="shared" si="99"/>
        <v>2</v>
      </c>
      <c r="BH125" s="16">
        <f t="shared" si="100"/>
        <v>2</v>
      </c>
      <c r="BI125" s="16">
        <f t="shared" si="101"/>
        <v>2</v>
      </c>
      <c r="BJ125" s="16">
        <f t="shared" si="102"/>
        <v>2</v>
      </c>
      <c r="BK125" s="16">
        <f t="shared" si="103"/>
        <v>2</v>
      </c>
      <c r="BL125" s="16">
        <f t="shared" si="104"/>
        <v>2</v>
      </c>
      <c r="BM125" s="16">
        <f t="shared" si="105"/>
        <v>2</v>
      </c>
      <c r="BN125" s="16">
        <f t="shared" si="106"/>
        <v>2</v>
      </c>
      <c r="BO125" s="16">
        <f t="shared" si="107"/>
        <v>2</v>
      </c>
      <c r="BP125" s="15" t="s">
        <v>377</v>
      </c>
    </row>
  </sheetData>
  <conditionalFormatting sqref="AV43:BO58">
    <cfRule type="cellIs" dxfId="9" priority="1" operator="lessThan">
      <formula>0</formula>
    </cfRule>
  </conditionalFormatting>
  <conditionalFormatting sqref="AV110:BO125">
    <cfRule type="cellIs" dxfId="8" priority="2" operator="lessThan">
      <formula>0</formula>
    </cfRule>
  </conditionalFormatting>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3EA5B-71A9-4539-BD6A-8C3B4C00345C}">
  <dimension ref="A1:BP27"/>
  <sheetViews>
    <sheetView zoomScale="90" zoomScaleNormal="90" workbookViewId="0">
      <pane xSplit="1" topLeftCell="B1" activePane="topRight" state="frozen"/>
      <selection pane="topRight" activeCell="D9" sqref="D9"/>
    </sheetView>
  </sheetViews>
  <sheetFormatPr defaultColWidth="15.6328125" defaultRowHeight="14.5" x14ac:dyDescent="0.35"/>
  <cols>
    <col min="1" max="1" width="59.6328125" style="12" customWidth="1"/>
    <col min="2" max="2" width="20.36328125" style="12" customWidth="1"/>
    <col min="3" max="3" width="18" style="12" customWidth="1"/>
    <col min="4" max="4" width="14.453125" style="12" bestFit="1" customWidth="1"/>
    <col min="5" max="5" width="13.6328125" style="12" customWidth="1"/>
    <col min="6" max="6" width="17.36328125" style="12" bestFit="1" customWidth="1"/>
    <col min="7" max="11" width="13.6328125" style="12" customWidth="1"/>
    <col min="12" max="12" width="14.453125" style="12" bestFit="1" customWidth="1"/>
    <col min="13" max="19" width="13.6328125" style="12" customWidth="1"/>
    <col min="20" max="20" width="14.453125" style="12" bestFit="1" customWidth="1"/>
    <col min="21" max="23" width="13.6328125" style="12" customWidth="1"/>
    <col min="24" max="24" width="27.36328125" style="12" bestFit="1" customWidth="1"/>
    <col min="25" max="25" width="23.6328125" style="12" customWidth="1"/>
    <col min="26" max="45" width="15.36328125" style="12" customWidth="1"/>
    <col min="46" max="46" width="8.6328125" style="12" bestFit="1" customWidth="1"/>
    <col min="47" max="16384" width="15.6328125" style="12"/>
  </cols>
  <sheetData>
    <row r="1" spans="1:67" ht="21" x14ac:dyDescent="0.5">
      <c r="A1" s="132" t="s">
        <v>153</v>
      </c>
      <c r="B1" s="90"/>
      <c r="C1" s="90"/>
      <c r="D1" s="90"/>
    </row>
    <row r="3" spans="1:67" x14ac:dyDescent="0.35">
      <c r="A3" s="79" t="s">
        <v>166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row>
    <row r="4" spans="1:67" x14ac:dyDescent="0.35">
      <c r="A4" s="56"/>
    </row>
    <row r="5" spans="1:67" x14ac:dyDescent="0.35">
      <c r="D5" s="48" t="s">
        <v>97</v>
      </c>
      <c r="E5" s="49"/>
      <c r="F5" s="49"/>
      <c r="G5" s="49"/>
      <c r="H5" s="49"/>
      <c r="I5" s="49"/>
      <c r="J5" s="49"/>
      <c r="K5" s="49"/>
      <c r="L5" s="49"/>
      <c r="M5" s="49"/>
      <c r="N5" s="49"/>
      <c r="O5" s="49"/>
      <c r="P5" s="49"/>
      <c r="Q5" s="49"/>
      <c r="R5" s="49"/>
      <c r="S5" s="49"/>
      <c r="T5" s="49"/>
      <c r="U5" s="49"/>
      <c r="V5" s="49"/>
      <c r="W5" s="49"/>
      <c r="Y5" s="48" t="s">
        <v>378</v>
      </c>
      <c r="Z5" s="49"/>
      <c r="AA5" s="49"/>
      <c r="AB5" s="49"/>
      <c r="AC5" s="49"/>
      <c r="AD5" s="49"/>
      <c r="AE5" s="49"/>
      <c r="AF5" s="49"/>
      <c r="AG5" s="49"/>
      <c r="AH5" s="49"/>
      <c r="AI5" s="49"/>
      <c r="AJ5" s="49"/>
      <c r="AK5" s="49"/>
      <c r="AL5" s="49"/>
      <c r="AM5" s="49"/>
      <c r="AN5" s="49"/>
      <c r="AO5" s="49"/>
      <c r="AP5" s="49"/>
      <c r="AQ5" s="49"/>
      <c r="AR5" s="49"/>
      <c r="AS5" s="49"/>
      <c r="AU5" s="48" t="s">
        <v>375</v>
      </c>
      <c r="AV5" s="49"/>
      <c r="AW5" s="49"/>
      <c r="AX5" s="49"/>
      <c r="AY5" s="49"/>
      <c r="AZ5" s="49"/>
      <c r="BA5" s="49"/>
      <c r="BB5" s="49"/>
      <c r="BC5" s="49"/>
      <c r="BD5" s="49"/>
      <c r="BE5" s="49"/>
      <c r="BF5" s="49"/>
      <c r="BG5" s="49"/>
      <c r="BH5" s="49"/>
      <c r="BI5" s="49"/>
      <c r="BJ5" s="49"/>
      <c r="BK5" s="49"/>
      <c r="BL5" s="49"/>
      <c r="BM5" s="49"/>
      <c r="BN5" s="49"/>
      <c r="BO5" s="49"/>
    </row>
    <row r="6" spans="1:67" x14ac:dyDescent="0.35">
      <c r="A6" s="56"/>
    </row>
    <row r="7" spans="1:67" x14ac:dyDescent="0.35">
      <c r="A7" s="56"/>
      <c r="C7" s="29" t="s">
        <v>167</v>
      </c>
      <c r="D7" s="53" cm="1">
        <f t="array" ref="D7:W7">years</f>
        <v>2018</v>
      </c>
      <c r="E7" s="52">
        <v>2019</v>
      </c>
      <c r="F7" s="52">
        <v>2020</v>
      </c>
      <c r="G7" s="52">
        <v>2021</v>
      </c>
      <c r="H7" s="52">
        <v>2022</v>
      </c>
      <c r="I7" s="52">
        <v>2023</v>
      </c>
      <c r="J7" s="52">
        <v>2024</v>
      </c>
      <c r="K7" s="52">
        <v>2025</v>
      </c>
      <c r="L7" s="52">
        <v>2026</v>
      </c>
      <c r="M7" s="52">
        <v>2027</v>
      </c>
      <c r="N7" s="52">
        <v>2028</v>
      </c>
      <c r="O7" s="52">
        <v>2029</v>
      </c>
      <c r="P7" s="52">
        <v>2030</v>
      </c>
      <c r="Q7" s="52">
        <v>2031</v>
      </c>
      <c r="R7" s="52">
        <v>2032</v>
      </c>
      <c r="S7" s="52">
        <v>2033</v>
      </c>
      <c r="T7" s="52">
        <v>2034</v>
      </c>
      <c r="U7" s="52">
        <v>2035</v>
      </c>
      <c r="V7" s="52">
        <v>2036</v>
      </c>
      <c r="W7" s="52">
        <v>2037</v>
      </c>
      <c r="Z7" s="191" cm="1">
        <f t="array" ref="Z7:AS7">years</f>
        <v>2018</v>
      </c>
      <c r="AA7" s="192">
        <v>2019</v>
      </c>
      <c r="AB7" s="192">
        <v>2020</v>
      </c>
      <c r="AC7" s="192">
        <v>2021</v>
      </c>
      <c r="AD7" s="192">
        <v>2022</v>
      </c>
      <c r="AE7" s="192">
        <v>2023</v>
      </c>
      <c r="AF7" s="192">
        <v>2024</v>
      </c>
      <c r="AG7" s="192">
        <v>2025</v>
      </c>
      <c r="AH7" s="192">
        <v>2026</v>
      </c>
      <c r="AI7" s="192">
        <v>2027</v>
      </c>
      <c r="AJ7" s="192">
        <v>2028</v>
      </c>
      <c r="AK7" s="192">
        <v>2029</v>
      </c>
      <c r="AL7" s="192">
        <v>2030</v>
      </c>
      <c r="AM7" s="192">
        <v>2031</v>
      </c>
      <c r="AN7" s="192">
        <v>2032</v>
      </c>
      <c r="AO7" s="192">
        <v>2033</v>
      </c>
      <c r="AP7" s="192">
        <v>2034</v>
      </c>
      <c r="AQ7" s="192">
        <v>2035</v>
      </c>
      <c r="AR7" s="192">
        <v>2036</v>
      </c>
      <c r="AS7" s="192">
        <v>2037</v>
      </c>
      <c r="AV7" s="191" cm="1">
        <f t="array" ref="AV7:BO7">years</f>
        <v>2018</v>
      </c>
      <c r="AW7" s="192">
        <v>2019</v>
      </c>
      <c r="AX7" s="192">
        <v>2020</v>
      </c>
      <c r="AY7" s="192">
        <v>2021</v>
      </c>
      <c r="AZ7" s="192">
        <v>2022</v>
      </c>
      <c r="BA7" s="192">
        <v>2023</v>
      </c>
      <c r="BB7" s="192">
        <v>2024</v>
      </c>
      <c r="BC7" s="192">
        <v>2025</v>
      </c>
      <c r="BD7" s="192">
        <v>2026</v>
      </c>
      <c r="BE7" s="192">
        <v>2027</v>
      </c>
      <c r="BF7" s="192">
        <v>2028</v>
      </c>
      <c r="BG7" s="192">
        <v>2029</v>
      </c>
      <c r="BH7" s="192">
        <v>2030</v>
      </c>
      <c r="BI7" s="192">
        <v>2031</v>
      </c>
      <c r="BJ7" s="192">
        <v>2032</v>
      </c>
      <c r="BK7" s="192">
        <v>2033</v>
      </c>
      <c r="BL7" s="192">
        <v>2034</v>
      </c>
      <c r="BM7" s="192">
        <v>2035</v>
      </c>
      <c r="BN7" s="192">
        <v>2036</v>
      </c>
      <c r="BO7" s="192">
        <v>2037</v>
      </c>
    </row>
    <row r="8" spans="1:67" x14ac:dyDescent="0.35">
      <c r="A8" s="41" t="str" cm="1">
        <f t="array" ref="A8:A23">core_elements</f>
        <v>Application server hardware</v>
      </c>
      <c r="B8" s="17"/>
      <c r="C8" s="17"/>
      <c r="D8" s="5" cm="1">
        <f t="array" ref="D8:W23">unit_costs_core_capex*core_increm_capex</f>
        <v>30143248.916003183</v>
      </c>
      <c r="E8" s="207">
        <v>0</v>
      </c>
      <c r="F8" s="207">
        <v>0</v>
      </c>
      <c r="G8" s="207">
        <v>0</v>
      </c>
      <c r="H8" s="207">
        <v>0</v>
      </c>
      <c r="I8" s="207">
        <v>0</v>
      </c>
      <c r="J8" s="207">
        <v>0</v>
      </c>
      <c r="K8" s="207">
        <v>0</v>
      </c>
      <c r="L8" s="207">
        <v>34927028.826235339</v>
      </c>
      <c r="M8" s="5">
        <v>0</v>
      </c>
      <c r="N8" s="5">
        <v>0</v>
      </c>
      <c r="O8" s="5">
        <v>0</v>
      </c>
      <c r="P8" s="5">
        <v>0</v>
      </c>
      <c r="Q8" s="5">
        <v>0</v>
      </c>
      <c r="R8" s="5">
        <v>0</v>
      </c>
      <c r="S8" s="5">
        <v>0</v>
      </c>
      <c r="T8" s="5">
        <v>40470001.957255036</v>
      </c>
      <c r="U8" s="5">
        <v>0</v>
      </c>
      <c r="V8" s="5">
        <v>0</v>
      </c>
      <c r="W8" s="5">
        <v>0</v>
      </c>
      <c r="X8" s="81"/>
      <c r="Y8" s="81"/>
      <c r="Z8" s="5" cm="1">
        <f t="array" ref="Z8:AS23">unit_costs_core_capex*core_increm_noincoming_capex</f>
        <v>30143248.916003183</v>
      </c>
      <c r="AA8" s="207">
        <v>0</v>
      </c>
      <c r="AB8" s="207">
        <v>0</v>
      </c>
      <c r="AC8" s="207">
        <v>0</v>
      </c>
      <c r="AD8" s="207">
        <v>0</v>
      </c>
      <c r="AE8" s="207">
        <v>0</v>
      </c>
      <c r="AF8" s="207">
        <v>0</v>
      </c>
      <c r="AG8" s="207">
        <v>0</v>
      </c>
      <c r="AH8" s="207">
        <v>34927028.826235339</v>
      </c>
      <c r="AI8" s="5">
        <v>0</v>
      </c>
      <c r="AJ8" s="5">
        <v>0</v>
      </c>
      <c r="AK8" s="5">
        <v>0</v>
      </c>
      <c r="AL8" s="5">
        <v>0</v>
      </c>
      <c r="AM8" s="5">
        <v>0</v>
      </c>
      <c r="AN8" s="5">
        <v>0</v>
      </c>
      <c r="AO8" s="5">
        <v>0</v>
      </c>
      <c r="AP8" s="5">
        <v>40470001.957255036</v>
      </c>
      <c r="AQ8" s="5">
        <v>0</v>
      </c>
      <c r="AR8" s="5">
        <v>0</v>
      </c>
      <c r="AS8" s="5">
        <v>0</v>
      </c>
      <c r="AV8" s="5" cm="1">
        <f t="array" ref="AV8:BO23">unit_costs_core_capex*core_increm_incoming_only_capex</f>
        <v>0</v>
      </c>
      <c r="AW8" s="207">
        <v>0</v>
      </c>
      <c r="AX8" s="207">
        <v>0</v>
      </c>
      <c r="AY8" s="207">
        <v>0</v>
      </c>
      <c r="AZ8" s="207">
        <v>0</v>
      </c>
      <c r="BA8" s="207">
        <v>0</v>
      </c>
      <c r="BB8" s="207">
        <v>0</v>
      </c>
      <c r="BC8" s="207">
        <v>0</v>
      </c>
      <c r="BD8" s="207">
        <v>0</v>
      </c>
      <c r="BE8" s="5">
        <v>0</v>
      </c>
      <c r="BF8" s="5">
        <v>0</v>
      </c>
      <c r="BG8" s="5">
        <v>0</v>
      </c>
      <c r="BH8" s="5">
        <v>0</v>
      </c>
      <c r="BI8" s="5">
        <v>0</v>
      </c>
      <c r="BJ8" s="5">
        <v>0</v>
      </c>
      <c r="BK8" s="5">
        <v>0</v>
      </c>
      <c r="BL8" s="5">
        <v>0</v>
      </c>
      <c r="BM8" s="5">
        <v>0</v>
      </c>
      <c r="BN8" s="5">
        <v>0</v>
      </c>
      <c r="BO8" s="5">
        <v>0</v>
      </c>
    </row>
    <row r="9" spans="1:67" x14ac:dyDescent="0.35">
      <c r="A9" s="41" t="str">
        <v>Application server software</v>
      </c>
      <c r="B9" s="17"/>
      <c r="C9" s="17"/>
      <c r="D9" s="5">
        <v>0</v>
      </c>
      <c r="E9" s="5">
        <v>0</v>
      </c>
      <c r="F9" s="5">
        <v>0</v>
      </c>
      <c r="G9" s="5">
        <v>0</v>
      </c>
      <c r="H9" s="5">
        <v>0</v>
      </c>
      <c r="I9" s="5">
        <v>0</v>
      </c>
      <c r="J9" s="5">
        <v>0</v>
      </c>
      <c r="K9" s="5">
        <v>0</v>
      </c>
      <c r="L9" s="5">
        <v>0</v>
      </c>
      <c r="M9" s="5">
        <v>0</v>
      </c>
      <c r="N9" s="5">
        <v>0</v>
      </c>
      <c r="O9" s="5">
        <v>0</v>
      </c>
      <c r="P9" s="5">
        <v>0</v>
      </c>
      <c r="Q9" s="5">
        <v>0</v>
      </c>
      <c r="R9" s="5">
        <v>0</v>
      </c>
      <c r="S9" s="5">
        <v>0</v>
      </c>
      <c r="T9" s="5">
        <v>0</v>
      </c>
      <c r="U9" s="5">
        <v>0</v>
      </c>
      <c r="V9" s="5">
        <v>0</v>
      </c>
      <c r="W9" s="5">
        <v>0</v>
      </c>
      <c r="X9" s="81"/>
      <c r="Y9" s="81"/>
      <c r="Z9" s="5">
        <v>0</v>
      </c>
      <c r="AA9" s="5">
        <v>0</v>
      </c>
      <c r="AB9" s="5">
        <v>0</v>
      </c>
      <c r="AC9" s="5">
        <v>0</v>
      </c>
      <c r="AD9" s="5">
        <v>0</v>
      </c>
      <c r="AE9" s="5">
        <v>0</v>
      </c>
      <c r="AF9" s="5">
        <v>0</v>
      </c>
      <c r="AG9" s="5">
        <v>0</v>
      </c>
      <c r="AH9" s="5">
        <v>0</v>
      </c>
      <c r="AI9" s="5">
        <v>0</v>
      </c>
      <c r="AJ9" s="5">
        <v>0</v>
      </c>
      <c r="AK9" s="5">
        <v>0</v>
      </c>
      <c r="AL9" s="5">
        <v>0</v>
      </c>
      <c r="AM9" s="5">
        <v>0</v>
      </c>
      <c r="AN9" s="5">
        <v>0</v>
      </c>
      <c r="AO9" s="5">
        <v>0</v>
      </c>
      <c r="AP9" s="5">
        <v>0</v>
      </c>
      <c r="AQ9" s="5">
        <v>0</v>
      </c>
      <c r="AR9" s="5">
        <v>0</v>
      </c>
      <c r="AS9" s="5">
        <v>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5">
        <v>0</v>
      </c>
      <c r="BO9" s="5">
        <v>0</v>
      </c>
    </row>
    <row r="10" spans="1:67" x14ac:dyDescent="0.35">
      <c r="A10" s="41" t="str">
        <v>Charging data function hardware</v>
      </c>
      <c r="B10" s="17"/>
      <c r="C10" s="17"/>
      <c r="D10" s="5">
        <v>3092751.0994943986</v>
      </c>
      <c r="E10" s="5">
        <v>0</v>
      </c>
      <c r="F10" s="5">
        <v>0</v>
      </c>
      <c r="G10" s="5">
        <v>0</v>
      </c>
      <c r="H10" s="5">
        <v>0</v>
      </c>
      <c r="I10" s="5">
        <v>0</v>
      </c>
      <c r="J10" s="5">
        <v>0</v>
      </c>
      <c r="K10" s="5">
        <v>0</v>
      </c>
      <c r="L10" s="5">
        <v>3583575.4501918764</v>
      </c>
      <c r="M10" s="5">
        <v>0</v>
      </c>
      <c r="N10" s="5">
        <v>0</v>
      </c>
      <c r="O10" s="5">
        <v>0</v>
      </c>
      <c r="P10" s="5">
        <v>0</v>
      </c>
      <c r="Q10" s="5">
        <v>0</v>
      </c>
      <c r="R10" s="5">
        <v>0</v>
      </c>
      <c r="S10" s="5">
        <v>0</v>
      </c>
      <c r="T10" s="5">
        <v>4152294.3793690084</v>
      </c>
      <c r="U10" s="5">
        <v>0</v>
      </c>
      <c r="V10" s="5">
        <v>0</v>
      </c>
      <c r="W10" s="5">
        <v>0</v>
      </c>
      <c r="X10" s="81"/>
      <c r="Y10" s="81"/>
      <c r="Z10" s="5">
        <v>3092751.0994943986</v>
      </c>
      <c r="AA10" s="5">
        <v>0</v>
      </c>
      <c r="AB10" s="5">
        <v>0</v>
      </c>
      <c r="AC10" s="5">
        <v>0</v>
      </c>
      <c r="AD10" s="5">
        <v>0</v>
      </c>
      <c r="AE10" s="5">
        <v>0</v>
      </c>
      <c r="AF10" s="5">
        <v>0</v>
      </c>
      <c r="AG10" s="5">
        <v>0</v>
      </c>
      <c r="AH10" s="5">
        <v>3583575.4501918764</v>
      </c>
      <c r="AI10" s="5">
        <v>0</v>
      </c>
      <c r="AJ10" s="5">
        <v>0</v>
      </c>
      <c r="AK10" s="5">
        <v>0</v>
      </c>
      <c r="AL10" s="5">
        <v>0</v>
      </c>
      <c r="AM10" s="5">
        <v>0</v>
      </c>
      <c r="AN10" s="5">
        <v>0</v>
      </c>
      <c r="AO10" s="5">
        <v>0</v>
      </c>
      <c r="AP10" s="5">
        <v>4152294.3793690084</v>
      </c>
      <c r="AQ10" s="5">
        <v>0</v>
      </c>
      <c r="AR10" s="5">
        <v>0</v>
      </c>
      <c r="AS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row>
    <row r="11" spans="1:67" x14ac:dyDescent="0.35">
      <c r="A11" s="41" t="str">
        <v>Charging data function software</v>
      </c>
      <c r="B11" s="17"/>
      <c r="C11" s="17"/>
      <c r="D11" s="5">
        <v>309338.69447039987</v>
      </c>
      <c r="E11" s="5">
        <v>0</v>
      </c>
      <c r="F11" s="5">
        <v>0</v>
      </c>
      <c r="G11" s="5">
        <v>0</v>
      </c>
      <c r="H11" s="5">
        <v>0</v>
      </c>
      <c r="I11" s="5">
        <v>0</v>
      </c>
      <c r="J11" s="5">
        <v>0</v>
      </c>
      <c r="K11" s="5">
        <v>0</v>
      </c>
      <c r="L11" s="5">
        <v>260289.33869737628</v>
      </c>
      <c r="M11" s="5">
        <v>0</v>
      </c>
      <c r="N11" s="5">
        <v>0</v>
      </c>
      <c r="O11" s="5">
        <v>0</v>
      </c>
      <c r="P11" s="5">
        <v>0</v>
      </c>
      <c r="Q11" s="5">
        <v>0</v>
      </c>
      <c r="R11" s="5">
        <v>0</v>
      </c>
      <c r="S11" s="5">
        <v>0</v>
      </c>
      <c r="T11" s="5">
        <v>301597.65661552415</v>
      </c>
      <c r="U11" s="5">
        <v>0</v>
      </c>
      <c r="V11" s="5">
        <v>0</v>
      </c>
      <c r="W11" s="5">
        <v>0</v>
      </c>
      <c r="X11" s="81"/>
      <c r="Y11" s="81"/>
      <c r="Z11" s="5">
        <v>228321.41734719989</v>
      </c>
      <c r="AA11" s="5">
        <v>0</v>
      </c>
      <c r="AB11" s="5">
        <v>0</v>
      </c>
      <c r="AC11" s="5">
        <v>0</v>
      </c>
      <c r="AD11" s="5">
        <v>0</v>
      </c>
      <c r="AE11" s="5">
        <v>0</v>
      </c>
      <c r="AF11" s="5">
        <v>0</v>
      </c>
      <c r="AG11" s="5">
        <v>0</v>
      </c>
      <c r="AH11" s="5">
        <v>183482.64858995378</v>
      </c>
      <c r="AI11" s="5">
        <v>0</v>
      </c>
      <c r="AJ11" s="5">
        <v>0</v>
      </c>
      <c r="AK11" s="5">
        <v>0</v>
      </c>
      <c r="AL11" s="5">
        <v>0</v>
      </c>
      <c r="AM11" s="5">
        <v>0</v>
      </c>
      <c r="AN11" s="5">
        <v>0</v>
      </c>
      <c r="AO11" s="5">
        <v>0</v>
      </c>
      <c r="AP11" s="5">
        <v>212601.62679454978</v>
      </c>
      <c r="AQ11" s="5">
        <v>0</v>
      </c>
      <c r="AR11" s="5">
        <v>0</v>
      </c>
      <c r="AS11" s="5">
        <v>0</v>
      </c>
      <c r="AV11" s="5">
        <v>81017.277123199965</v>
      </c>
      <c r="AW11" s="5">
        <v>0</v>
      </c>
      <c r="AX11" s="5">
        <v>0</v>
      </c>
      <c r="AY11" s="5">
        <v>0</v>
      </c>
      <c r="AZ11" s="5">
        <v>0</v>
      </c>
      <c r="BA11" s="5">
        <v>0</v>
      </c>
      <c r="BB11" s="5">
        <v>0</v>
      </c>
      <c r="BC11" s="5">
        <v>0</v>
      </c>
      <c r="BD11" s="5">
        <v>76806.690107422517</v>
      </c>
      <c r="BE11" s="5">
        <v>0</v>
      </c>
      <c r="BF11" s="5">
        <v>0</v>
      </c>
      <c r="BG11" s="5">
        <v>0</v>
      </c>
      <c r="BH11" s="5">
        <v>0</v>
      </c>
      <c r="BI11" s="5">
        <v>0</v>
      </c>
      <c r="BJ11" s="5">
        <v>0</v>
      </c>
      <c r="BK11" s="5">
        <v>0</v>
      </c>
      <c r="BL11" s="5">
        <v>88996.029820974334</v>
      </c>
      <c r="BM11" s="5">
        <v>0</v>
      </c>
      <c r="BN11" s="5">
        <v>0</v>
      </c>
      <c r="BO11" s="5">
        <v>0</v>
      </c>
    </row>
    <row r="12" spans="1:67" x14ac:dyDescent="0.35">
      <c r="A12" s="41" t="str">
        <v>Proxy - Call session control function hardware</v>
      </c>
      <c r="B12" s="17"/>
      <c r="C12" s="17"/>
      <c r="D12" s="5">
        <v>10485378.935358394</v>
      </c>
      <c r="E12" s="5">
        <v>0</v>
      </c>
      <c r="F12" s="5">
        <v>0</v>
      </c>
      <c r="G12" s="5">
        <v>0</v>
      </c>
      <c r="H12" s="5">
        <v>0</v>
      </c>
      <c r="I12" s="5">
        <v>0</v>
      </c>
      <c r="J12" s="5">
        <v>0</v>
      </c>
      <c r="K12" s="5">
        <v>0</v>
      </c>
      <c r="L12" s="5">
        <v>12149424.680457519</v>
      </c>
      <c r="M12" s="5">
        <v>0</v>
      </c>
      <c r="N12" s="5">
        <v>0</v>
      </c>
      <c r="O12" s="5">
        <v>0</v>
      </c>
      <c r="P12" s="5">
        <v>0</v>
      </c>
      <c r="Q12" s="5">
        <v>0</v>
      </c>
      <c r="R12" s="5">
        <v>0</v>
      </c>
      <c r="S12" s="5">
        <v>0</v>
      </c>
      <c r="T12" s="5">
        <v>14077557.041677389</v>
      </c>
      <c r="U12" s="5">
        <v>0</v>
      </c>
      <c r="V12" s="5">
        <v>0</v>
      </c>
      <c r="W12" s="5">
        <v>0</v>
      </c>
      <c r="X12" s="81"/>
      <c r="Y12" s="81"/>
      <c r="Z12" s="5">
        <v>10485378.935358394</v>
      </c>
      <c r="AA12" s="5">
        <v>0</v>
      </c>
      <c r="AB12" s="5">
        <v>0</v>
      </c>
      <c r="AC12" s="5">
        <v>0</v>
      </c>
      <c r="AD12" s="5">
        <v>0</v>
      </c>
      <c r="AE12" s="5">
        <v>0</v>
      </c>
      <c r="AF12" s="5">
        <v>0</v>
      </c>
      <c r="AG12" s="5">
        <v>0</v>
      </c>
      <c r="AH12" s="5">
        <v>12149424.680457519</v>
      </c>
      <c r="AI12" s="5">
        <v>0</v>
      </c>
      <c r="AJ12" s="5">
        <v>0</v>
      </c>
      <c r="AK12" s="5">
        <v>0</v>
      </c>
      <c r="AL12" s="5">
        <v>0</v>
      </c>
      <c r="AM12" s="5">
        <v>0</v>
      </c>
      <c r="AN12" s="5">
        <v>0</v>
      </c>
      <c r="AO12" s="5">
        <v>0</v>
      </c>
      <c r="AP12" s="5">
        <v>14077557.041677389</v>
      </c>
      <c r="AQ12" s="5">
        <v>0</v>
      </c>
      <c r="AR12" s="5">
        <v>0</v>
      </c>
      <c r="AS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5">
        <v>0</v>
      </c>
      <c r="BO12" s="5">
        <v>0</v>
      </c>
    </row>
    <row r="13" spans="1:67" x14ac:dyDescent="0.35">
      <c r="A13" s="41" t="str">
        <v>Proxy - Call session control function software</v>
      </c>
      <c r="B13" s="17"/>
      <c r="C13" s="17"/>
      <c r="D13" s="5">
        <v>20434475.423519988</v>
      </c>
      <c r="E13" s="5">
        <v>0</v>
      </c>
      <c r="F13" s="5">
        <v>0</v>
      </c>
      <c r="G13" s="5">
        <v>0</v>
      </c>
      <c r="H13" s="5">
        <v>0</v>
      </c>
      <c r="I13" s="5">
        <v>0</v>
      </c>
      <c r="J13" s="5">
        <v>0</v>
      </c>
      <c r="K13" s="5">
        <v>0</v>
      </c>
      <c r="L13" s="5">
        <v>17267691.121273048</v>
      </c>
      <c r="M13" s="5">
        <v>0</v>
      </c>
      <c r="N13" s="5">
        <v>0</v>
      </c>
      <c r="O13" s="5">
        <v>0</v>
      </c>
      <c r="P13" s="5">
        <v>0</v>
      </c>
      <c r="Q13" s="5">
        <v>0</v>
      </c>
      <c r="R13" s="5">
        <v>0</v>
      </c>
      <c r="S13" s="5">
        <v>0</v>
      </c>
      <c r="T13" s="5">
        <v>20008100.229535595</v>
      </c>
      <c r="U13" s="5">
        <v>0</v>
      </c>
      <c r="V13" s="5">
        <v>0</v>
      </c>
      <c r="W13" s="5">
        <v>0</v>
      </c>
      <c r="X13" s="81"/>
      <c r="Y13" s="81"/>
      <c r="Z13" s="5">
        <v>15093375.662879992</v>
      </c>
      <c r="AA13" s="5">
        <v>0</v>
      </c>
      <c r="AB13" s="5">
        <v>0</v>
      </c>
      <c r="AC13" s="5">
        <v>0</v>
      </c>
      <c r="AD13" s="5">
        <v>0</v>
      </c>
      <c r="AE13" s="5">
        <v>0</v>
      </c>
      <c r="AF13" s="5">
        <v>0</v>
      </c>
      <c r="AG13" s="5">
        <v>0</v>
      </c>
      <c r="AH13" s="5">
        <v>12045941.326200077</v>
      </c>
      <c r="AI13" s="5">
        <v>0</v>
      </c>
      <c r="AJ13" s="5">
        <v>0</v>
      </c>
      <c r="AK13" s="5">
        <v>0</v>
      </c>
      <c r="AL13" s="5">
        <v>0</v>
      </c>
      <c r="AM13" s="5">
        <v>0</v>
      </c>
      <c r="AN13" s="5">
        <v>0</v>
      </c>
      <c r="AO13" s="5">
        <v>0</v>
      </c>
      <c r="AP13" s="5">
        <v>13957650.72012403</v>
      </c>
      <c r="AQ13" s="5">
        <v>0</v>
      </c>
      <c r="AR13" s="5">
        <v>0</v>
      </c>
      <c r="AS13" s="5">
        <v>0</v>
      </c>
      <c r="AV13" s="5">
        <v>5341099.7606399972</v>
      </c>
      <c r="AW13" s="5">
        <v>0</v>
      </c>
      <c r="AX13" s="5">
        <v>0</v>
      </c>
      <c r="AY13" s="5">
        <v>0</v>
      </c>
      <c r="AZ13" s="5">
        <v>0</v>
      </c>
      <c r="BA13" s="5">
        <v>0</v>
      </c>
      <c r="BB13" s="5">
        <v>0</v>
      </c>
      <c r="BC13" s="5">
        <v>0</v>
      </c>
      <c r="BD13" s="5">
        <v>5221749.795072969</v>
      </c>
      <c r="BE13" s="5">
        <v>0</v>
      </c>
      <c r="BF13" s="5">
        <v>0</v>
      </c>
      <c r="BG13" s="5">
        <v>0</v>
      </c>
      <c r="BH13" s="5">
        <v>0</v>
      </c>
      <c r="BI13" s="5">
        <v>0</v>
      </c>
      <c r="BJ13" s="5">
        <v>0</v>
      </c>
      <c r="BK13" s="5">
        <v>0</v>
      </c>
      <c r="BL13" s="5">
        <v>6050449.5094115632</v>
      </c>
      <c r="BM13" s="5">
        <v>0</v>
      </c>
      <c r="BN13" s="5">
        <v>0</v>
      </c>
      <c r="BO13" s="5">
        <v>0</v>
      </c>
    </row>
    <row r="14" spans="1:67" x14ac:dyDescent="0.35">
      <c r="A14" s="41" t="str">
        <v>Interrogating - Call session control function hardware</v>
      </c>
      <c r="B14" s="17"/>
      <c r="C14" s="17"/>
      <c r="D14" s="5">
        <v>0</v>
      </c>
      <c r="E14" s="5">
        <v>0</v>
      </c>
      <c r="F14" s="5">
        <v>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81"/>
      <c r="Y14" s="81"/>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row>
    <row r="15" spans="1:67" x14ac:dyDescent="0.35">
      <c r="A15" s="41" t="str">
        <v>Interrogating - Call session control function software</v>
      </c>
      <c r="B15" s="17"/>
      <c r="C15" s="17"/>
      <c r="D15" s="5">
        <v>4086895.0847039972</v>
      </c>
      <c r="E15" s="5">
        <v>0</v>
      </c>
      <c r="F15" s="5">
        <v>0</v>
      </c>
      <c r="G15" s="5">
        <v>0</v>
      </c>
      <c r="H15" s="5">
        <v>0</v>
      </c>
      <c r="I15" s="5">
        <v>0</v>
      </c>
      <c r="J15" s="5">
        <v>0</v>
      </c>
      <c r="K15" s="5">
        <v>0</v>
      </c>
      <c r="L15" s="5">
        <v>3453538.2242546091</v>
      </c>
      <c r="M15" s="5">
        <v>0</v>
      </c>
      <c r="N15" s="5">
        <v>0</v>
      </c>
      <c r="O15" s="5">
        <v>0</v>
      </c>
      <c r="P15" s="5">
        <v>0</v>
      </c>
      <c r="Q15" s="5">
        <v>0</v>
      </c>
      <c r="R15" s="5">
        <v>0</v>
      </c>
      <c r="S15" s="5">
        <v>0</v>
      </c>
      <c r="T15" s="5">
        <v>4001620.0459071184</v>
      </c>
      <c r="U15" s="5">
        <v>0</v>
      </c>
      <c r="V15" s="5">
        <v>0</v>
      </c>
      <c r="W15" s="5">
        <v>0</v>
      </c>
      <c r="X15" s="81"/>
      <c r="Y15" s="81"/>
      <c r="Z15" s="5">
        <v>3018675.1325759981</v>
      </c>
      <c r="AA15" s="5">
        <v>0</v>
      </c>
      <c r="AB15" s="5">
        <v>0</v>
      </c>
      <c r="AC15" s="5">
        <v>0</v>
      </c>
      <c r="AD15" s="5">
        <v>0</v>
      </c>
      <c r="AE15" s="5">
        <v>0</v>
      </c>
      <c r="AF15" s="5">
        <v>0</v>
      </c>
      <c r="AG15" s="5">
        <v>0</v>
      </c>
      <c r="AH15" s="5">
        <v>2409188.2652400155</v>
      </c>
      <c r="AI15" s="5">
        <v>0</v>
      </c>
      <c r="AJ15" s="5">
        <v>0</v>
      </c>
      <c r="AK15" s="5">
        <v>0</v>
      </c>
      <c r="AL15" s="5">
        <v>0</v>
      </c>
      <c r="AM15" s="5">
        <v>0</v>
      </c>
      <c r="AN15" s="5">
        <v>0</v>
      </c>
      <c r="AO15" s="5">
        <v>0</v>
      </c>
      <c r="AP15" s="5">
        <v>2791530.1440248056</v>
      </c>
      <c r="AQ15" s="5">
        <v>0</v>
      </c>
      <c r="AR15" s="5">
        <v>0</v>
      </c>
      <c r="AS15" s="5">
        <v>0</v>
      </c>
      <c r="AV15" s="5">
        <v>1068219.9521279994</v>
      </c>
      <c r="AW15" s="5">
        <v>0</v>
      </c>
      <c r="AX15" s="5">
        <v>0</v>
      </c>
      <c r="AY15" s="5">
        <v>0</v>
      </c>
      <c r="AZ15" s="5">
        <v>0</v>
      </c>
      <c r="BA15" s="5">
        <v>0</v>
      </c>
      <c r="BB15" s="5">
        <v>0</v>
      </c>
      <c r="BC15" s="5">
        <v>0</v>
      </c>
      <c r="BD15" s="5">
        <v>1044349.9590145939</v>
      </c>
      <c r="BE15" s="5">
        <v>0</v>
      </c>
      <c r="BF15" s="5">
        <v>0</v>
      </c>
      <c r="BG15" s="5">
        <v>0</v>
      </c>
      <c r="BH15" s="5">
        <v>0</v>
      </c>
      <c r="BI15" s="5">
        <v>0</v>
      </c>
      <c r="BJ15" s="5">
        <v>0</v>
      </c>
      <c r="BK15" s="5">
        <v>0</v>
      </c>
      <c r="BL15" s="5">
        <v>1210089.9018823125</v>
      </c>
      <c r="BM15" s="5">
        <v>0</v>
      </c>
      <c r="BN15" s="5">
        <v>0</v>
      </c>
      <c r="BO15" s="5">
        <v>0</v>
      </c>
    </row>
    <row r="16" spans="1:67" x14ac:dyDescent="0.35">
      <c r="A16" s="41" t="str">
        <v>Serving - Call session control function hardware</v>
      </c>
      <c r="B16" s="17"/>
      <c r="C16" s="17"/>
      <c r="D16" s="5">
        <v>0</v>
      </c>
      <c r="E16" s="5">
        <v>0</v>
      </c>
      <c r="F16" s="5">
        <v>0</v>
      </c>
      <c r="G16" s="5">
        <v>0</v>
      </c>
      <c r="H16" s="5">
        <v>0</v>
      </c>
      <c r="I16" s="5">
        <v>0</v>
      </c>
      <c r="J16" s="5">
        <v>0</v>
      </c>
      <c r="K16" s="5">
        <v>0</v>
      </c>
      <c r="L16" s="5">
        <v>0</v>
      </c>
      <c r="M16" s="5">
        <v>0</v>
      </c>
      <c r="N16" s="5">
        <v>0</v>
      </c>
      <c r="O16" s="5">
        <v>0</v>
      </c>
      <c r="P16" s="5">
        <v>0</v>
      </c>
      <c r="Q16" s="5">
        <v>0</v>
      </c>
      <c r="R16" s="5">
        <v>0</v>
      </c>
      <c r="S16" s="5">
        <v>0</v>
      </c>
      <c r="T16" s="5">
        <v>0</v>
      </c>
      <c r="U16" s="5">
        <v>0</v>
      </c>
      <c r="V16" s="5">
        <v>0</v>
      </c>
      <c r="W16" s="5">
        <v>0</v>
      </c>
      <c r="X16" s="81"/>
      <c r="Y16" s="81"/>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0</v>
      </c>
      <c r="AQ16" s="5">
        <v>0</v>
      </c>
      <c r="AR16" s="5">
        <v>0</v>
      </c>
      <c r="AS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row>
    <row r="17" spans="1:68" x14ac:dyDescent="0.35">
      <c r="A17" s="41" t="str">
        <v>Serving - Call session control function software</v>
      </c>
      <c r="B17" s="17"/>
      <c r="C17" s="17"/>
      <c r="D17" s="5">
        <v>20434475.423519988</v>
      </c>
      <c r="E17" s="5">
        <v>0</v>
      </c>
      <c r="F17" s="5">
        <v>0</v>
      </c>
      <c r="G17" s="5">
        <v>0</v>
      </c>
      <c r="H17" s="5">
        <v>0</v>
      </c>
      <c r="I17" s="5">
        <v>0</v>
      </c>
      <c r="J17" s="5">
        <v>0</v>
      </c>
      <c r="K17" s="5">
        <v>0</v>
      </c>
      <c r="L17" s="5">
        <v>17267691.121273048</v>
      </c>
      <c r="M17" s="5">
        <v>0</v>
      </c>
      <c r="N17" s="5">
        <v>0</v>
      </c>
      <c r="O17" s="5">
        <v>0</v>
      </c>
      <c r="P17" s="5">
        <v>0</v>
      </c>
      <c r="Q17" s="5">
        <v>0</v>
      </c>
      <c r="R17" s="5">
        <v>0</v>
      </c>
      <c r="S17" s="5">
        <v>0</v>
      </c>
      <c r="T17" s="5">
        <v>20008100.229535595</v>
      </c>
      <c r="U17" s="5">
        <v>0</v>
      </c>
      <c r="V17" s="5">
        <v>0</v>
      </c>
      <c r="W17" s="5">
        <v>0</v>
      </c>
      <c r="X17" s="81"/>
      <c r="Y17" s="81"/>
      <c r="Z17" s="5">
        <v>15093375.662879992</v>
      </c>
      <c r="AA17" s="5">
        <v>0</v>
      </c>
      <c r="AB17" s="5">
        <v>0</v>
      </c>
      <c r="AC17" s="5">
        <v>0</v>
      </c>
      <c r="AD17" s="5">
        <v>0</v>
      </c>
      <c r="AE17" s="5">
        <v>0</v>
      </c>
      <c r="AF17" s="5">
        <v>0</v>
      </c>
      <c r="AG17" s="5">
        <v>0</v>
      </c>
      <c r="AH17" s="5">
        <v>12045941.326200077</v>
      </c>
      <c r="AI17" s="5">
        <v>0</v>
      </c>
      <c r="AJ17" s="5">
        <v>0</v>
      </c>
      <c r="AK17" s="5">
        <v>0</v>
      </c>
      <c r="AL17" s="5">
        <v>0</v>
      </c>
      <c r="AM17" s="5">
        <v>0</v>
      </c>
      <c r="AN17" s="5">
        <v>0</v>
      </c>
      <c r="AO17" s="5">
        <v>0</v>
      </c>
      <c r="AP17" s="5">
        <v>13957650.72012403</v>
      </c>
      <c r="AQ17" s="5">
        <v>0</v>
      </c>
      <c r="AR17" s="5">
        <v>0</v>
      </c>
      <c r="AS17" s="5">
        <v>0</v>
      </c>
      <c r="AV17" s="5">
        <v>5341099.7606399972</v>
      </c>
      <c r="AW17" s="5">
        <v>0</v>
      </c>
      <c r="AX17" s="5">
        <v>0</v>
      </c>
      <c r="AY17" s="5">
        <v>0</v>
      </c>
      <c r="AZ17" s="5">
        <v>0</v>
      </c>
      <c r="BA17" s="5">
        <v>0</v>
      </c>
      <c r="BB17" s="5">
        <v>0</v>
      </c>
      <c r="BC17" s="5">
        <v>0</v>
      </c>
      <c r="BD17" s="5">
        <v>5221749.795072969</v>
      </c>
      <c r="BE17" s="5">
        <v>0</v>
      </c>
      <c r="BF17" s="5">
        <v>0</v>
      </c>
      <c r="BG17" s="5">
        <v>0</v>
      </c>
      <c r="BH17" s="5">
        <v>0</v>
      </c>
      <c r="BI17" s="5">
        <v>0</v>
      </c>
      <c r="BJ17" s="5">
        <v>0</v>
      </c>
      <c r="BK17" s="5">
        <v>0</v>
      </c>
      <c r="BL17" s="5">
        <v>6050449.5094115632</v>
      </c>
      <c r="BM17" s="5">
        <v>0</v>
      </c>
      <c r="BN17" s="5">
        <v>0</v>
      </c>
      <c r="BO17" s="5">
        <v>0</v>
      </c>
    </row>
    <row r="18" spans="1:68" x14ac:dyDescent="0.35">
      <c r="A18" s="41" t="str">
        <v>Media resource function - hardware</v>
      </c>
      <c r="B18" s="17"/>
      <c r="C18" s="17"/>
      <c r="D18" s="5">
        <v>16690936.751999993</v>
      </c>
      <c r="E18" s="5">
        <v>0</v>
      </c>
      <c r="F18" s="5">
        <v>0</v>
      </c>
      <c r="G18" s="5">
        <v>0</v>
      </c>
      <c r="H18" s="5">
        <v>0</v>
      </c>
      <c r="I18" s="5">
        <v>0</v>
      </c>
      <c r="J18" s="5">
        <v>0</v>
      </c>
      <c r="K18" s="5">
        <v>0</v>
      </c>
      <c r="L18" s="5">
        <v>13814152.897018438</v>
      </c>
      <c r="M18" s="5">
        <v>0</v>
      </c>
      <c r="N18" s="5">
        <v>0</v>
      </c>
      <c r="O18" s="5">
        <v>0</v>
      </c>
      <c r="P18" s="5">
        <v>0</v>
      </c>
      <c r="Q18" s="5">
        <v>0</v>
      </c>
      <c r="R18" s="5">
        <v>0</v>
      </c>
      <c r="S18" s="5">
        <v>0</v>
      </c>
      <c r="T18" s="5">
        <v>16006480.183628477</v>
      </c>
      <c r="U18" s="5">
        <v>0</v>
      </c>
      <c r="V18" s="5">
        <v>0</v>
      </c>
      <c r="W18" s="5">
        <v>0</v>
      </c>
      <c r="X18" s="81"/>
      <c r="Y18" s="81"/>
      <c r="Z18" s="5">
        <v>9537678.1439999957</v>
      </c>
      <c r="AA18" s="5">
        <v>0</v>
      </c>
      <c r="AB18" s="5">
        <v>0</v>
      </c>
      <c r="AC18" s="5">
        <v>0</v>
      </c>
      <c r="AD18" s="5">
        <v>0</v>
      </c>
      <c r="AE18" s="5">
        <v>0</v>
      </c>
      <c r="AF18" s="5">
        <v>0</v>
      </c>
      <c r="AG18" s="5">
        <v>0</v>
      </c>
      <c r="AH18" s="5">
        <v>8288491.7382110637</v>
      </c>
      <c r="AI18" s="5">
        <v>0</v>
      </c>
      <c r="AJ18" s="5">
        <v>0</v>
      </c>
      <c r="AK18" s="5">
        <v>0</v>
      </c>
      <c r="AL18" s="5">
        <v>0</v>
      </c>
      <c r="AM18" s="5">
        <v>0</v>
      </c>
      <c r="AN18" s="5">
        <v>0</v>
      </c>
      <c r="AO18" s="5">
        <v>0</v>
      </c>
      <c r="AP18" s="5">
        <v>9603888.1101770848</v>
      </c>
      <c r="AQ18" s="5">
        <v>0</v>
      </c>
      <c r="AR18" s="5">
        <v>0</v>
      </c>
      <c r="AS18" s="5">
        <v>0</v>
      </c>
      <c r="AV18" s="5">
        <v>7153258.6079999972</v>
      </c>
      <c r="AW18" s="5">
        <v>0</v>
      </c>
      <c r="AX18" s="5">
        <v>0</v>
      </c>
      <c r="AY18" s="5">
        <v>0</v>
      </c>
      <c r="AZ18" s="5">
        <v>0</v>
      </c>
      <c r="BA18" s="5">
        <v>0</v>
      </c>
      <c r="BB18" s="5">
        <v>0</v>
      </c>
      <c r="BC18" s="5">
        <v>0</v>
      </c>
      <c r="BD18" s="5">
        <v>5525661.1588073755</v>
      </c>
      <c r="BE18" s="5">
        <v>0</v>
      </c>
      <c r="BF18" s="5">
        <v>0</v>
      </c>
      <c r="BG18" s="5">
        <v>0</v>
      </c>
      <c r="BH18" s="5">
        <v>0</v>
      </c>
      <c r="BI18" s="5">
        <v>0</v>
      </c>
      <c r="BJ18" s="5">
        <v>0</v>
      </c>
      <c r="BK18" s="5">
        <v>0</v>
      </c>
      <c r="BL18" s="5">
        <v>6402592.0734513905</v>
      </c>
      <c r="BM18" s="5">
        <v>0</v>
      </c>
      <c r="BN18" s="5">
        <v>0</v>
      </c>
      <c r="BO18" s="5">
        <v>0</v>
      </c>
    </row>
    <row r="19" spans="1:68" x14ac:dyDescent="0.35">
      <c r="A19" s="41" t="str">
        <v>Media resource function - software</v>
      </c>
      <c r="B19" s="17"/>
      <c r="C19" s="17"/>
      <c r="D19" s="5">
        <v>27164499.563879985</v>
      </c>
      <c r="E19" s="5">
        <v>0</v>
      </c>
      <c r="F19" s="5">
        <v>0</v>
      </c>
      <c r="G19" s="5">
        <v>0</v>
      </c>
      <c r="H19" s="5">
        <v>0</v>
      </c>
      <c r="I19" s="5">
        <v>0</v>
      </c>
      <c r="J19" s="5">
        <v>0</v>
      </c>
      <c r="K19" s="5">
        <v>0</v>
      </c>
      <c r="L19" s="5">
        <v>22547460.358513493</v>
      </c>
      <c r="M19" s="5">
        <v>0</v>
      </c>
      <c r="N19" s="5">
        <v>0</v>
      </c>
      <c r="O19" s="5">
        <v>0</v>
      </c>
      <c r="P19" s="5">
        <v>0</v>
      </c>
      <c r="Q19" s="5">
        <v>0</v>
      </c>
      <c r="R19" s="5">
        <v>0</v>
      </c>
      <c r="S19" s="5">
        <v>0</v>
      </c>
      <c r="T19" s="5">
        <v>26125776.955718398</v>
      </c>
      <c r="U19" s="5">
        <v>0</v>
      </c>
      <c r="V19" s="5">
        <v>0</v>
      </c>
      <c r="W19" s="5">
        <v>0</v>
      </c>
      <c r="X19" s="81"/>
      <c r="Y19" s="81"/>
      <c r="Z19" s="5">
        <v>21171658.463399988</v>
      </c>
      <c r="AA19" s="5">
        <v>0</v>
      </c>
      <c r="AB19" s="5">
        <v>0</v>
      </c>
      <c r="AC19" s="5">
        <v>0</v>
      </c>
      <c r="AD19" s="5">
        <v>0</v>
      </c>
      <c r="AE19" s="5">
        <v>0</v>
      </c>
      <c r="AF19" s="5">
        <v>0</v>
      </c>
      <c r="AG19" s="5">
        <v>0</v>
      </c>
      <c r="AH19" s="5">
        <v>16673222.07493802</v>
      </c>
      <c r="AI19" s="5">
        <v>0</v>
      </c>
      <c r="AJ19" s="5">
        <v>0</v>
      </c>
      <c r="AK19" s="5">
        <v>0</v>
      </c>
      <c r="AL19" s="5">
        <v>0</v>
      </c>
      <c r="AM19" s="5">
        <v>0</v>
      </c>
      <c r="AN19" s="5">
        <v>0</v>
      </c>
      <c r="AO19" s="5">
        <v>0</v>
      </c>
      <c r="AP19" s="5">
        <v>19319288.032300115</v>
      </c>
      <c r="AQ19" s="5">
        <v>0</v>
      </c>
      <c r="AR19" s="5">
        <v>0</v>
      </c>
      <c r="AS19" s="5">
        <v>0</v>
      </c>
      <c r="AT19" s="15"/>
      <c r="AV19" s="5">
        <v>5992841.1004799968</v>
      </c>
      <c r="AW19" s="5">
        <v>0</v>
      </c>
      <c r="AX19" s="5">
        <v>0</v>
      </c>
      <c r="AY19" s="5">
        <v>0</v>
      </c>
      <c r="AZ19" s="5">
        <v>0</v>
      </c>
      <c r="BA19" s="5">
        <v>0</v>
      </c>
      <c r="BB19" s="5">
        <v>0</v>
      </c>
      <c r="BC19" s="5">
        <v>0</v>
      </c>
      <c r="BD19" s="5">
        <v>5874238.2835754734</v>
      </c>
      <c r="BE19" s="5">
        <v>0</v>
      </c>
      <c r="BF19" s="5">
        <v>0</v>
      </c>
      <c r="BG19" s="5">
        <v>0</v>
      </c>
      <c r="BH19" s="5">
        <v>0</v>
      </c>
      <c r="BI19" s="5">
        <v>0</v>
      </c>
      <c r="BJ19" s="5">
        <v>0</v>
      </c>
      <c r="BK19" s="5">
        <v>0</v>
      </c>
      <c r="BL19" s="5">
        <v>6806488.9234182825</v>
      </c>
      <c r="BM19" s="5">
        <v>0</v>
      </c>
      <c r="BN19" s="5">
        <v>0</v>
      </c>
      <c r="BO19" s="5">
        <v>0</v>
      </c>
    </row>
    <row r="20" spans="1:68" x14ac:dyDescent="0.35">
      <c r="A20" s="41" t="str">
        <v>Access session border controller - hardware</v>
      </c>
      <c r="B20" s="17"/>
      <c r="C20" s="17"/>
      <c r="D20" s="5">
        <v>10942056</v>
      </c>
      <c r="E20" s="5">
        <v>0</v>
      </c>
      <c r="F20" s="5">
        <v>0</v>
      </c>
      <c r="G20" s="5">
        <v>0</v>
      </c>
      <c r="H20" s="5">
        <v>0</v>
      </c>
      <c r="I20" s="5">
        <v>0</v>
      </c>
      <c r="J20" s="5">
        <v>0</v>
      </c>
      <c r="K20" s="5">
        <v>0</v>
      </c>
      <c r="L20" s="5">
        <v>8452384.7312155254</v>
      </c>
      <c r="M20" s="5">
        <v>0</v>
      </c>
      <c r="N20" s="5">
        <v>0</v>
      </c>
      <c r="O20" s="5">
        <v>0</v>
      </c>
      <c r="P20" s="5">
        <v>0</v>
      </c>
      <c r="Q20" s="5">
        <v>0</v>
      </c>
      <c r="R20" s="5">
        <v>0</v>
      </c>
      <c r="S20" s="5">
        <v>0</v>
      </c>
      <c r="T20" s="5">
        <v>9793791.1729503162</v>
      </c>
      <c r="U20" s="5">
        <v>0</v>
      </c>
      <c r="V20" s="5">
        <v>0</v>
      </c>
      <c r="W20" s="5">
        <v>0</v>
      </c>
      <c r="X20" s="211"/>
      <c r="Y20" s="81"/>
      <c r="Z20" s="5">
        <v>7294704</v>
      </c>
      <c r="AA20" s="5">
        <v>0</v>
      </c>
      <c r="AB20" s="5">
        <v>0</v>
      </c>
      <c r="AC20" s="5">
        <v>0</v>
      </c>
      <c r="AD20" s="5">
        <v>0</v>
      </c>
      <c r="AE20" s="5">
        <v>0</v>
      </c>
      <c r="AF20" s="5">
        <v>0</v>
      </c>
      <c r="AG20" s="5">
        <v>0</v>
      </c>
      <c r="AH20" s="5">
        <v>8452384.7312155254</v>
      </c>
      <c r="AI20" s="5">
        <v>0</v>
      </c>
      <c r="AJ20" s="5">
        <v>0</v>
      </c>
      <c r="AK20" s="5">
        <v>0</v>
      </c>
      <c r="AL20" s="5">
        <v>0</v>
      </c>
      <c r="AM20" s="5">
        <v>0</v>
      </c>
      <c r="AN20" s="5">
        <v>0</v>
      </c>
      <c r="AO20" s="5">
        <v>0</v>
      </c>
      <c r="AP20" s="5">
        <v>9793791.1729503162</v>
      </c>
      <c r="AQ20" s="5">
        <v>0</v>
      </c>
      <c r="AR20" s="5">
        <v>0</v>
      </c>
      <c r="AS20" s="5">
        <v>0</v>
      </c>
      <c r="AT20" s="15"/>
      <c r="AV20" s="5">
        <v>3647352</v>
      </c>
      <c r="AW20" s="5">
        <v>0</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0</v>
      </c>
    </row>
    <row r="21" spans="1:68" x14ac:dyDescent="0.35">
      <c r="A21" s="41" t="str">
        <v>Access session border controller - software</v>
      </c>
      <c r="B21" s="17"/>
      <c r="C21" s="17"/>
      <c r="D21" s="5">
        <v>30101760</v>
      </c>
      <c r="E21" s="5">
        <v>0</v>
      </c>
      <c r="F21" s="5">
        <v>0</v>
      </c>
      <c r="G21" s="5">
        <v>0</v>
      </c>
      <c r="H21" s="5">
        <v>0</v>
      </c>
      <c r="I21" s="5">
        <v>0</v>
      </c>
      <c r="J21" s="5">
        <v>0</v>
      </c>
      <c r="K21" s="5">
        <v>0</v>
      </c>
      <c r="L21" s="5">
        <v>27903164.444420416</v>
      </c>
      <c r="M21" s="5">
        <v>0</v>
      </c>
      <c r="N21" s="5">
        <v>0</v>
      </c>
      <c r="O21" s="5">
        <v>0</v>
      </c>
      <c r="P21" s="5">
        <v>0</v>
      </c>
      <c r="Q21" s="5">
        <v>0</v>
      </c>
      <c r="R21" s="5">
        <v>0</v>
      </c>
      <c r="S21" s="5">
        <v>0</v>
      </c>
      <c r="T21" s="5">
        <v>32331439.507705193</v>
      </c>
      <c r="U21" s="5">
        <v>0</v>
      </c>
      <c r="V21" s="5">
        <v>0</v>
      </c>
      <c r="W21" s="5">
        <v>0</v>
      </c>
      <c r="X21" s="211"/>
      <c r="Y21" s="81"/>
      <c r="Z21" s="5">
        <v>24081408</v>
      </c>
      <c r="AA21" s="5">
        <v>0</v>
      </c>
      <c r="AB21" s="5">
        <v>0</v>
      </c>
      <c r="AC21" s="5">
        <v>0</v>
      </c>
      <c r="AD21" s="5">
        <v>0</v>
      </c>
      <c r="AE21" s="5">
        <v>0</v>
      </c>
      <c r="AF21" s="5">
        <v>0</v>
      </c>
      <c r="AG21" s="5">
        <v>0</v>
      </c>
      <c r="AH21" s="5">
        <v>20927373.333315313</v>
      </c>
      <c r="AI21" s="5">
        <v>0</v>
      </c>
      <c r="AJ21" s="5">
        <v>0</v>
      </c>
      <c r="AK21" s="5">
        <v>0</v>
      </c>
      <c r="AL21" s="5">
        <v>0</v>
      </c>
      <c r="AM21" s="5">
        <v>0</v>
      </c>
      <c r="AN21" s="5">
        <v>0</v>
      </c>
      <c r="AO21" s="5">
        <v>0</v>
      </c>
      <c r="AP21" s="5">
        <v>24248579.630778894</v>
      </c>
      <c r="AQ21" s="5">
        <v>0</v>
      </c>
      <c r="AR21" s="5">
        <v>0</v>
      </c>
      <c r="AS21" s="5">
        <v>0</v>
      </c>
      <c r="AT21" s="15"/>
      <c r="AV21" s="5">
        <v>6020352</v>
      </c>
      <c r="AW21" s="5">
        <v>0</v>
      </c>
      <c r="AX21" s="5">
        <v>0</v>
      </c>
      <c r="AY21" s="5">
        <v>0</v>
      </c>
      <c r="AZ21" s="5">
        <v>0</v>
      </c>
      <c r="BA21" s="5">
        <v>0</v>
      </c>
      <c r="BB21" s="5">
        <v>0</v>
      </c>
      <c r="BC21" s="5">
        <v>0</v>
      </c>
      <c r="BD21" s="5">
        <v>6975791.111105104</v>
      </c>
      <c r="BE21" s="5">
        <v>0</v>
      </c>
      <c r="BF21" s="5">
        <v>0</v>
      </c>
      <c r="BG21" s="5">
        <v>0</v>
      </c>
      <c r="BH21" s="5">
        <v>0</v>
      </c>
      <c r="BI21" s="5">
        <v>0</v>
      </c>
      <c r="BJ21" s="5">
        <v>0</v>
      </c>
      <c r="BK21" s="5">
        <v>0</v>
      </c>
      <c r="BL21" s="5">
        <v>8082859.8769262983</v>
      </c>
      <c r="BM21" s="5">
        <v>0</v>
      </c>
      <c r="BN21" s="5">
        <v>0</v>
      </c>
      <c r="BO21" s="5">
        <v>0</v>
      </c>
    </row>
    <row r="22" spans="1:68" x14ac:dyDescent="0.35">
      <c r="A22" s="41" t="str">
        <v>Internet exchange point session border controller - hardware</v>
      </c>
      <c r="B22" s="17"/>
      <c r="C22" s="17"/>
      <c r="D22" s="5">
        <v>7294704</v>
      </c>
      <c r="E22" s="5">
        <v>0</v>
      </c>
      <c r="F22" s="5">
        <v>0</v>
      </c>
      <c r="G22" s="5">
        <v>0</v>
      </c>
      <c r="H22" s="5">
        <v>0</v>
      </c>
      <c r="I22" s="5">
        <v>0</v>
      </c>
      <c r="J22" s="5">
        <v>0</v>
      </c>
      <c r="K22" s="5">
        <v>0</v>
      </c>
      <c r="L22" s="5">
        <v>8452384.7312155254</v>
      </c>
      <c r="M22" s="5">
        <v>0</v>
      </c>
      <c r="N22" s="5">
        <v>0</v>
      </c>
      <c r="O22" s="5">
        <v>0</v>
      </c>
      <c r="P22" s="5">
        <v>0</v>
      </c>
      <c r="Q22" s="5">
        <v>0</v>
      </c>
      <c r="R22" s="5">
        <v>0</v>
      </c>
      <c r="S22" s="5">
        <v>0</v>
      </c>
      <c r="T22" s="5">
        <v>9793791.1729503162</v>
      </c>
      <c r="U22" s="5">
        <v>0</v>
      </c>
      <c r="V22" s="5">
        <v>0</v>
      </c>
      <c r="W22" s="5">
        <v>0</v>
      </c>
      <c r="X22" s="211"/>
      <c r="Y22" s="81"/>
      <c r="Z22" s="5">
        <v>7294704</v>
      </c>
      <c r="AA22" s="5">
        <v>0</v>
      </c>
      <c r="AB22" s="5">
        <v>0</v>
      </c>
      <c r="AC22" s="5">
        <v>0</v>
      </c>
      <c r="AD22" s="5">
        <v>0</v>
      </c>
      <c r="AE22" s="5">
        <v>0</v>
      </c>
      <c r="AF22" s="5">
        <v>0</v>
      </c>
      <c r="AG22" s="5">
        <v>0</v>
      </c>
      <c r="AH22" s="5">
        <v>4226192.3656077627</v>
      </c>
      <c r="AI22" s="5">
        <v>0</v>
      </c>
      <c r="AJ22" s="5">
        <v>0</v>
      </c>
      <c r="AK22" s="5">
        <v>0</v>
      </c>
      <c r="AL22" s="5">
        <v>0</v>
      </c>
      <c r="AM22" s="5">
        <v>0</v>
      </c>
      <c r="AN22" s="5">
        <v>0</v>
      </c>
      <c r="AO22" s="5">
        <v>0</v>
      </c>
      <c r="AP22" s="5">
        <v>4896895.5864751581</v>
      </c>
      <c r="AQ22" s="5">
        <v>0</v>
      </c>
      <c r="AR22" s="5">
        <v>0</v>
      </c>
      <c r="AS22" s="5">
        <v>0</v>
      </c>
      <c r="AT22" s="15"/>
      <c r="AV22" s="5">
        <v>0</v>
      </c>
      <c r="AW22" s="5">
        <v>0</v>
      </c>
      <c r="AX22" s="5">
        <v>0</v>
      </c>
      <c r="AY22" s="5">
        <v>0</v>
      </c>
      <c r="AZ22" s="5">
        <v>0</v>
      </c>
      <c r="BA22" s="5">
        <v>0</v>
      </c>
      <c r="BB22" s="5">
        <v>0</v>
      </c>
      <c r="BC22" s="5">
        <v>0</v>
      </c>
      <c r="BD22" s="5">
        <v>4226192.3656077627</v>
      </c>
      <c r="BE22" s="5">
        <v>0</v>
      </c>
      <c r="BF22" s="5">
        <v>0</v>
      </c>
      <c r="BG22" s="5">
        <v>0</v>
      </c>
      <c r="BH22" s="5">
        <v>0</v>
      </c>
      <c r="BI22" s="5">
        <v>0</v>
      </c>
      <c r="BJ22" s="5">
        <v>0</v>
      </c>
      <c r="BK22" s="5">
        <v>0</v>
      </c>
      <c r="BL22" s="5">
        <v>4896895.5864751581</v>
      </c>
      <c r="BM22" s="5">
        <v>0</v>
      </c>
      <c r="BN22" s="5">
        <v>0</v>
      </c>
      <c r="BO22" s="5">
        <v>0</v>
      </c>
    </row>
    <row r="23" spans="1:68" x14ac:dyDescent="0.35">
      <c r="A23" s="41" t="str">
        <v>Internet exchange point session border controller - software</v>
      </c>
      <c r="B23" s="17"/>
      <c r="C23" s="17"/>
      <c r="D23" s="5">
        <v>24081408</v>
      </c>
      <c r="E23" s="5">
        <v>0</v>
      </c>
      <c r="F23" s="5">
        <v>0</v>
      </c>
      <c r="G23" s="5">
        <v>0</v>
      </c>
      <c r="H23" s="5">
        <v>0</v>
      </c>
      <c r="I23" s="5">
        <v>0</v>
      </c>
      <c r="J23" s="5">
        <v>0</v>
      </c>
      <c r="K23" s="5">
        <v>0</v>
      </c>
      <c r="L23" s="5">
        <v>20927373.333315313</v>
      </c>
      <c r="M23" s="5">
        <v>0</v>
      </c>
      <c r="N23" s="5">
        <v>0</v>
      </c>
      <c r="O23" s="5">
        <v>0</v>
      </c>
      <c r="P23" s="5">
        <v>0</v>
      </c>
      <c r="Q23" s="5">
        <v>0</v>
      </c>
      <c r="R23" s="5">
        <v>0</v>
      </c>
      <c r="S23" s="5">
        <v>0</v>
      </c>
      <c r="T23" s="5">
        <v>24248579.630778894</v>
      </c>
      <c r="U23" s="5">
        <v>0</v>
      </c>
      <c r="V23" s="5">
        <v>0</v>
      </c>
      <c r="W23" s="5">
        <v>0</v>
      </c>
      <c r="X23" s="211" t="s">
        <v>168</v>
      </c>
      <c r="Y23" s="81"/>
      <c r="Z23" s="5">
        <v>18061056</v>
      </c>
      <c r="AA23" s="5">
        <v>0</v>
      </c>
      <c r="AB23" s="5">
        <v>0</v>
      </c>
      <c r="AC23" s="5">
        <v>0</v>
      </c>
      <c r="AD23" s="5">
        <v>0</v>
      </c>
      <c r="AE23" s="5">
        <v>0</v>
      </c>
      <c r="AF23" s="5">
        <v>0</v>
      </c>
      <c r="AG23" s="5">
        <v>0</v>
      </c>
      <c r="AH23" s="5">
        <v>13951582.222210208</v>
      </c>
      <c r="AI23" s="5">
        <v>0</v>
      </c>
      <c r="AJ23" s="5">
        <v>0</v>
      </c>
      <c r="AK23" s="5">
        <v>0</v>
      </c>
      <c r="AL23" s="5">
        <v>0</v>
      </c>
      <c r="AM23" s="5">
        <v>0</v>
      </c>
      <c r="AN23" s="5">
        <v>0</v>
      </c>
      <c r="AO23" s="5">
        <v>0</v>
      </c>
      <c r="AP23" s="5">
        <v>16165719.753852597</v>
      </c>
      <c r="AQ23" s="5">
        <v>0</v>
      </c>
      <c r="AR23" s="5">
        <v>0</v>
      </c>
      <c r="AS23" s="5">
        <v>0</v>
      </c>
      <c r="AT23" s="15"/>
      <c r="AV23" s="5">
        <v>6020352</v>
      </c>
      <c r="AW23" s="5">
        <v>0</v>
      </c>
      <c r="AX23" s="5">
        <v>0</v>
      </c>
      <c r="AY23" s="5">
        <v>0</v>
      </c>
      <c r="AZ23" s="5">
        <v>0</v>
      </c>
      <c r="BA23" s="5">
        <v>0</v>
      </c>
      <c r="BB23" s="5">
        <v>0</v>
      </c>
      <c r="BC23" s="5">
        <v>0</v>
      </c>
      <c r="BD23" s="5">
        <v>6975791.111105104</v>
      </c>
      <c r="BE23" s="5">
        <v>0</v>
      </c>
      <c r="BF23" s="5">
        <v>0</v>
      </c>
      <c r="BG23" s="5">
        <v>0</v>
      </c>
      <c r="BH23" s="5">
        <v>0</v>
      </c>
      <c r="BI23" s="5">
        <v>0</v>
      </c>
      <c r="BJ23" s="5">
        <v>0</v>
      </c>
      <c r="BK23" s="5">
        <v>0</v>
      </c>
      <c r="BL23" s="5">
        <v>8082859.8769262983</v>
      </c>
      <c r="BM23" s="5">
        <v>0</v>
      </c>
      <c r="BN23" s="5">
        <v>0</v>
      </c>
      <c r="BO23" s="5">
        <v>0</v>
      </c>
    </row>
    <row r="24" spans="1:68" x14ac:dyDescent="0.35">
      <c r="A24" s="39"/>
      <c r="C24" s="12" t="s">
        <v>345</v>
      </c>
      <c r="M24" s="15"/>
      <c r="N24" s="15"/>
      <c r="O24" s="15"/>
      <c r="P24" s="15"/>
      <c r="Q24" s="15"/>
      <c r="R24" s="15"/>
      <c r="S24" s="15"/>
      <c r="T24" s="15"/>
      <c r="U24" s="15"/>
      <c r="V24" s="15"/>
      <c r="W24" s="15"/>
      <c r="Y24" s="21" t="s">
        <v>167</v>
      </c>
      <c r="AI24" s="15"/>
      <c r="AJ24" s="15"/>
      <c r="AK24" s="15"/>
      <c r="AL24" s="15"/>
      <c r="AM24" s="15"/>
      <c r="AN24" s="15"/>
      <c r="AO24" s="15"/>
      <c r="AP24" s="15"/>
      <c r="AQ24" s="15"/>
      <c r="AR24" s="15"/>
      <c r="AS24" s="15"/>
      <c r="AU24" s="21" t="s">
        <v>167</v>
      </c>
      <c r="BE24" s="15"/>
      <c r="BF24" s="15"/>
      <c r="BG24" s="15"/>
      <c r="BH24" s="15"/>
      <c r="BI24" s="15"/>
      <c r="BJ24" s="15"/>
      <c r="BK24" s="15"/>
      <c r="BL24" s="15"/>
      <c r="BM24" s="15"/>
      <c r="BN24" s="15"/>
      <c r="BO24" s="15"/>
    </row>
    <row r="25" spans="1:68" x14ac:dyDescent="0.35">
      <c r="A25" s="41" t="s">
        <v>169</v>
      </c>
      <c r="B25" s="17"/>
      <c r="C25" s="17"/>
      <c r="D25" s="16">
        <f>SUM(D8:D23)</f>
        <v>205261927.8929503</v>
      </c>
      <c r="E25" s="212">
        <f t="shared" ref="E25:W25" si="0">SUM(E8:E23)</f>
        <v>0</v>
      </c>
      <c r="F25" s="212">
        <f t="shared" si="0"/>
        <v>0</v>
      </c>
      <c r="G25" s="212">
        <f t="shared" si="0"/>
        <v>0</v>
      </c>
      <c r="H25" s="212">
        <f t="shared" si="0"/>
        <v>0</v>
      </c>
      <c r="I25" s="212">
        <f t="shared" si="0"/>
        <v>0</v>
      </c>
      <c r="J25" s="212">
        <f t="shared" si="0"/>
        <v>0</v>
      </c>
      <c r="K25" s="212">
        <f t="shared" si="0"/>
        <v>0</v>
      </c>
      <c r="L25" s="212">
        <f t="shared" si="0"/>
        <v>191006159.25808153</v>
      </c>
      <c r="M25" s="212">
        <f t="shared" si="0"/>
        <v>0</v>
      </c>
      <c r="N25" s="212">
        <f t="shared" si="0"/>
        <v>0</v>
      </c>
      <c r="O25" s="212">
        <f t="shared" si="0"/>
        <v>0</v>
      </c>
      <c r="P25" s="212">
        <f t="shared" si="0"/>
        <v>0</v>
      </c>
      <c r="Q25" s="212">
        <f t="shared" si="0"/>
        <v>0</v>
      </c>
      <c r="R25" s="212">
        <f t="shared" si="0"/>
        <v>0</v>
      </c>
      <c r="S25" s="212">
        <f t="shared" si="0"/>
        <v>0</v>
      </c>
      <c r="T25" s="212">
        <f t="shared" si="0"/>
        <v>221319130.16362685</v>
      </c>
      <c r="U25" s="212">
        <f t="shared" si="0"/>
        <v>0</v>
      </c>
      <c r="V25" s="212">
        <f t="shared" si="0"/>
        <v>0</v>
      </c>
      <c r="W25" s="212">
        <f t="shared" si="0"/>
        <v>0</v>
      </c>
      <c r="X25" s="15" t="s">
        <v>395</v>
      </c>
      <c r="Z25" s="16">
        <f>SUM(Z8:Z23)</f>
        <v>164596335.43393916</v>
      </c>
      <c r="AA25" s="16">
        <f t="shared" ref="AA25:AS25" si="1">SUM(AA8:AA23)</f>
        <v>0</v>
      </c>
      <c r="AB25" s="16">
        <f t="shared" si="1"/>
        <v>0</v>
      </c>
      <c r="AC25" s="16">
        <f t="shared" si="1"/>
        <v>0</v>
      </c>
      <c r="AD25" s="16">
        <f t="shared" si="1"/>
        <v>0</v>
      </c>
      <c r="AE25" s="16">
        <f t="shared" si="1"/>
        <v>0</v>
      </c>
      <c r="AF25" s="16">
        <f t="shared" si="1"/>
        <v>0</v>
      </c>
      <c r="AG25" s="16">
        <f t="shared" si="1"/>
        <v>0</v>
      </c>
      <c r="AH25" s="16">
        <f t="shared" si="1"/>
        <v>149863828.98861274</v>
      </c>
      <c r="AI25" s="16">
        <f t="shared" si="1"/>
        <v>0</v>
      </c>
      <c r="AJ25" s="16">
        <f t="shared" si="1"/>
        <v>0</v>
      </c>
      <c r="AK25" s="16">
        <f t="shared" si="1"/>
        <v>0</v>
      </c>
      <c r="AL25" s="16">
        <f t="shared" si="1"/>
        <v>0</v>
      </c>
      <c r="AM25" s="16">
        <f t="shared" si="1"/>
        <v>0</v>
      </c>
      <c r="AN25" s="16">
        <f t="shared" si="1"/>
        <v>0</v>
      </c>
      <c r="AO25" s="16">
        <f t="shared" si="1"/>
        <v>0</v>
      </c>
      <c r="AP25" s="16">
        <f t="shared" si="1"/>
        <v>173647448.87590304</v>
      </c>
      <c r="AQ25" s="16">
        <f t="shared" si="1"/>
        <v>0</v>
      </c>
      <c r="AR25" s="16">
        <f t="shared" si="1"/>
        <v>0</v>
      </c>
      <c r="AS25" s="16">
        <f t="shared" si="1"/>
        <v>0</v>
      </c>
      <c r="AT25" s="15" t="s">
        <v>170</v>
      </c>
      <c r="AV25" s="26">
        <f>SUM(AV8:AV23)</f>
        <v>40665592.45901119</v>
      </c>
      <c r="AW25" s="26">
        <f t="shared" ref="AW25:BO25" si="2">SUM(AW8:AW23)</f>
        <v>0</v>
      </c>
      <c r="AX25" s="26">
        <f t="shared" si="2"/>
        <v>0</v>
      </c>
      <c r="AY25" s="26">
        <f t="shared" si="2"/>
        <v>0</v>
      </c>
      <c r="AZ25" s="26">
        <f t="shared" si="2"/>
        <v>0</v>
      </c>
      <c r="BA25" s="26">
        <f t="shared" si="2"/>
        <v>0</v>
      </c>
      <c r="BB25" s="26">
        <f t="shared" si="2"/>
        <v>0</v>
      </c>
      <c r="BC25" s="26">
        <f t="shared" si="2"/>
        <v>0</v>
      </c>
      <c r="BD25" s="26">
        <f t="shared" si="2"/>
        <v>41142330.269468777</v>
      </c>
      <c r="BE25" s="26">
        <f t="shared" si="2"/>
        <v>0</v>
      </c>
      <c r="BF25" s="26">
        <f t="shared" si="2"/>
        <v>0</v>
      </c>
      <c r="BG25" s="26">
        <f t="shared" si="2"/>
        <v>0</v>
      </c>
      <c r="BH25" s="26">
        <f t="shared" si="2"/>
        <v>0</v>
      </c>
      <c r="BI25" s="26">
        <f t="shared" si="2"/>
        <v>0</v>
      </c>
      <c r="BJ25" s="26">
        <f t="shared" si="2"/>
        <v>0</v>
      </c>
      <c r="BK25" s="26">
        <f t="shared" si="2"/>
        <v>0</v>
      </c>
      <c r="BL25" s="26">
        <f t="shared" si="2"/>
        <v>47671681.287723832</v>
      </c>
      <c r="BM25" s="26">
        <f t="shared" si="2"/>
        <v>0</v>
      </c>
      <c r="BN25" s="26">
        <f t="shared" si="2"/>
        <v>0</v>
      </c>
      <c r="BO25" s="26">
        <f t="shared" si="2"/>
        <v>0</v>
      </c>
      <c r="BP25" s="15" t="s">
        <v>412</v>
      </c>
    </row>
    <row r="26" spans="1:68" x14ac:dyDescent="0.35">
      <c r="A26" s="41" t="s">
        <v>400</v>
      </c>
      <c r="B26" s="17"/>
      <c r="C26" s="152">
        <f>SUM(D26:W26)</f>
        <v>215442134.5382784</v>
      </c>
      <c r="D26" s="73" cm="1">
        <f t="array" ref="D26:W26">core_costs_capex/wacc_index</f>
        <v>170227201.55990401</v>
      </c>
      <c r="E26" s="73">
        <v>0</v>
      </c>
      <c r="F26" s="73">
        <v>0</v>
      </c>
      <c r="G26" s="73">
        <v>0</v>
      </c>
      <c r="H26" s="73">
        <v>0</v>
      </c>
      <c r="I26" s="73">
        <v>0</v>
      </c>
      <c r="J26" s="73">
        <v>0</v>
      </c>
      <c r="K26" s="73">
        <v>0</v>
      </c>
      <c r="L26" s="73">
        <v>36197629.002858788</v>
      </c>
      <c r="M26" s="73">
        <v>0</v>
      </c>
      <c r="N26" s="73">
        <v>0</v>
      </c>
      <c r="O26" s="73">
        <v>0</v>
      </c>
      <c r="P26" s="73">
        <v>0</v>
      </c>
      <c r="Q26" s="73">
        <v>0</v>
      </c>
      <c r="R26" s="73">
        <v>0</v>
      </c>
      <c r="S26" s="73">
        <v>0</v>
      </c>
      <c r="T26" s="73">
        <v>9017303.9755156077</v>
      </c>
      <c r="U26" s="73">
        <v>0</v>
      </c>
      <c r="V26" s="73">
        <v>0</v>
      </c>
      <c r="W26" s="73">
        <v>0</v>
      </c>
      <c r="X26" s="15" t="s">
        <v>398</v>
      </c>
      <c r="Y26" s="16">
        <f>SUM(_xlfn.ANCHORARRAY(Z26))</f>
        <v>171978265.60739326</v>
      </c>
      <c r="Z26" s="26" cm="1">
        <f t="array" ref="Z26:AS26">core_costs_noincoming/wacc_index</f>
        <v>136502535.34862679</v>
      </c>
      <c r="AA26" s="26">
        <v>0</v>
      </c>
      <c r="AB26" s="26">
        <v>0</v>
      </c>
      <c r="AC26" s="26">
        <v>0</v>
      </c>
      <c r="AD26" s="26">
        <v>0</v>
      </c>
      <c r="AE26" s="26">
        <v>0</v>
      </c>
      <c r="AF26" s="26">
        <v>0</v>
      </c>
      <c r="AG26" s="26">
        <v>0</v>
      </c>
      <c r="AH26" s="26">
        <v>28400734.844094601</v>
      </c>
      <c r="AI26" s="26">
        <v>0</v>
      </c>
      <c r="AJ26" s="26">
        <v>0</v>
      </c>
      <c r="AK26" s="26">
        <v>0</v>
      </c>
      <c r="AL26" s="26">
        <v>0</v>
      </c>
      <c r="AM26" s="26">
        <v>0</v>
      </c>
      <c r="AN26" s="26">
        <v>0</v>
      </c>
      <c r="AO26" s="26">
        <v>0</v>
      </c>
      <c r="AP26" s="26">
        <v>7074995.414671856</v>
      </c>
      <c r="AQ26" s="26">
        <v>0</v>
      </c>
      <c r="AR26" s="26">
        <v>0</v>
      </c>
      <c r="AS26" s="26">
        <v>0</v>
      </c>
      <c r="AU26" s="16">
        <f>SUM(_xlfn.ANCHORARRAY(AV26))</f>
        <v>43463868.930885203</v>
      </c>
      <c r="AV26" s="26" cm="1">
        <f t="array" ref="AV26:BO26">core_costs_incomingonly/wacc_index</f>
        <v>33724666.211277261</v>
      </c>
      <c r="AW26" s="26">
        <v>0</v>
      </c>
      <c r="AX26" s="26">
        <v>0</v>
      </c>
      <c r="AY26" s="26">
        <v>0</v>
      </c>
      <c r="AZ26" s="26">
        <v>0</v>
      </c>
      <c r="BA26" s="26">
        <v>0</v>
      </c>
      <c r="BB26" s="26">
        <v>0</v>
      </c>
      <c r="BC26" s="26">
        <v>0</v>
      </c>
      <c r="BD26" s="26">
        <v>7796894.1587641882</v>
      </c>
      <c r="BE26" s="26">
        <v>0</v>
      </c>
      <c r="BF26" s="26">
        <v>0</v>
      </c>
      <c r="BG26" s="26">
        <v>0</v>
      </c>
      <c r="BH26" s="26">
        <v>0</v>
      </c>
      <c r="BI26" s="26">
        <v>0</v>
      </c>
      <c r="BJ26" s="26">
        <v>0</v>
      </c>
      <c r="BK26" s="26">
        <v>0</v>
      </c>
      <c r="BL26" s="26">
        <v>1942308.560843752</v>
      </c>
      <c r="BM26" s="26">
        <v>0</v>
      </c>
      <c r="BN26" s="26">
        <v>0</v>
      </c>
      <c r="BO26" s="26">
        <v>0</v>
      </c>
    </row>
    <row r="27" spans="1:68" x14ac:dyDescent="0.35">
      <c r="A27" s="39"/>
      <c r="C27" s="15" t="s">
        <v>402</v>
      </c>
      <c r="L27" s="15"/>
      <c r="M27" s="15"/>
      <c r="N27" s="15"/>
      <c r="O27" s="15"/>
      <c r="P27" s="15"/>
      <c r="Q27" s="15"/>
      <c r="R27" s="15"/>
      <c r="S27" s="15"/>
      <c r="T27" s="15"/>
      <c r="U27" s="15"/>
      <c r="V27" s="15"/>
      <c r="W27" s="15"/>
      <c r="AU27" s="15" t="s">
        <v>413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83E4E-2C0C-4A26-A753-9557D5485EBB}">
  <dimension ref="A1:BP28"/>
  <sheetViews>
    <sheetView zoomScaleNormal="100" workbookViewId="0">
      <selection activeCell="D9" sqref="D9"/>
    </sheetView>
  </sheetViews>
  <sheetFormatPr defaultColWidth="8.54296875" defaultRowHeight="14.5" x14ac:dyDescent="0.35"/>
  <cols>
    <col min="1" max="1" width="50.54296875" style="12" customWidth="1"/>
    <col min="2" max="4" width="15.6328125" style="12" customWidth="1"/>
    <col min="5" max="5" width="17" style="12" bestFit="1" customWidth="1"/>
    <col min="6" max="83" width="15.6328125" style="12" customWidth="1"/>
    <col min="84" max="16384" width="8.54296875" style="12"/>
  </cols>
  <sheetData>
    <row r="1" spans="1:67" ht="18.5" x14ac:dyDescent="0.45">
      <c r="A1" s="89" t="s">
        <v>171</v>
      </c>
      <c r="B1" s="127"/>
      <c r="C1" s="127"/>
      <c r="D1" s="128"/>
      <c r="E1" s="128"/>
      <c r="F1" s="128"/>
      <c r="G1" s="128"/>
      <c r="H1" s="128"/>
      <c r="I1" s="128"/>
      <c r="J1" s="128"/>
      <c r="K1" s="128"/>
      <c r="L1" s="128"/>
    </row>
    <row r="4" spans="1:67" s="21" customFormat="1" x14ac:dyDescent="0.35">
      <c r="A4" s="48" t="s">
        <v>173</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row>
    <row r="6" spans="1:67" x14ac:dyDescent="0.35">
      <c r="C6" s="48" t="s">
        <v>97</v>
      </c>
      <c r="D6" s="49"/>
      <c r="E6" s="49"/>
      <c r="F6" s="49"/>
      <c r="G6" s="49"/>
      <c r="H6" s="49"/>
      <c r="I6" s="49"/>
      <c r="J6" s="49"/>
      <c r="K6" s="49"/>
      <c r="L6" s="49"/>
      <c r="M6" s="49"/>
      <c r="N6" s="49"/>
      <c r="O6" s="49"/>
      <c r="P6" s="49"/>
      <c r="Q6" s="49"/>
      <c r="R6" s="49"/>
      <c r="S6" s="49"/>
      <c r="T6" s="49"/>
      <c r="U6" s="49"/>
      <c r="V6" s="49"/>
      <c r="W6" s="49"/>
      <c r="Z6" s="48" t="s">
        <v>127</v>
      </c>
      <c r="AA6" s="49"/>
      <c r="AB6" s="49"/>
      <c r="AC6" s="49"/>
      <c r="AD6" s="49"/>
      <c r="AE6" s="49"/>
      <c r="AF6" s="49"/>
      <c r="AG6" s="49"/>
      <c r="AH6" s="49"/>
      <c r="AI6" s="49"/>
      <c r="AJ6" s="49"/>
      <c r="AK6" s="49"/>
      <c r="AL6" s="49"/>
      <c r="AM6" s="49"/>
      <c r="AN6" s="49"/>
      <c r="AO6" s="49"/>
      <c r="AP6" s="49"/>
      <c r="AQ6" s="49"/>
      <c r="AR6" s="49"/>
      <c r="AS6" s="49"/>
      <c r="AU6" s="48" t="s">
        <v>379</v>
      </c>
      <c r="AV6" s="49"/>
      <c r="AW6" s="49"/>
      <c r="AX6" s="49"/>
      <c r="AY6" s="49"/>
      <c r="AZ6" s="49"/>
      <c r="BA6" s="49"/>
      <c r="BB6" s="49"/>
      <c r="BC6" s="49"/>
      <c r="BD6" s="49"/>
      <c r="BE6" s="49"/>
      <c r="BF6" s="49"/>
      <c r="BG6" s="49"/>
      <c r="BH6" s="49"/>
      <c r="BI6" s="49"/>
      <c r="BJ6" s="49"/>
      <c r="BK6" s="49"/>
      <c r="BL6" s="49"/>
      <c r="BM6" s="49"/>
      <c r="BN6" s="49"/>
      <c r="BO6" s="49"/>
    </row>
    <row r="7" spans="1:67" x14ac:dyDescent="0.35">
      <c r="AV7" s="12" cm="1">
        <f t="array" ref="AV7:BO7">time_index</f>
        <v>1</v>
      </c>
      <c r="AW7" s="12">
        <v>2</v>
      </c>
      <c r="AX7" s="12">
        <v>3</v>
      </c>
      <c r="AY7" s="12">
        <v>4</v>
      </c>
      <c r="AZ7" s="12">
        <v>5</v>
      </c>
      <c r="BA7" s="12">
        <v>6</v>
      </c>
      <c r="BB7" s="12">
        <v>7</v>
      </c>
      <c r="BC7" s="12">
        <v>8</v>
      </c>
      <c r="BD7" s="12">
        <v>9</v>
      </c>
      <c r="BE7" s="12">
        <v>10</v>
      </c>
      <c r="BF7" s="12">
        <v>11</v>
      </c>
      <c r="BG7" s="12">
        <v>12</v>
      </c>
      <c r="BH7" s="12">
        <v>13</v>
      </c>
      <c r="BI7" s="12">
        <v>14</v>
      </c>
      <c r="BJ7" s="12">
        <v>15</v>
      </c>
      <c r="BK7" s="12">
        <v>16</v>
      </c>
      <c r="BL7" s="12">
        <v>17</v>
      </c>
      <c r="BM7" s="12">
        <v>18</v>
      </c>
      <c r="BN7" s="12">
        <v>19</v>
      </c>
      <c r="BO7" s="12">
        <v>20</v>
      </c>
    </row>
    <row r="8" spans="1:67" x14ac:dyDescent="0.35">
      <c r="D8" s="192" cm="1">
        <f t="array" ref="D8:W8">years</f>
        <v>2018</v>
      </c>
      <c r="E8" s="192">
        <v>2019</v>
      </c>
      <c r="F8" s="192">
        <v>2020</v>
      </c>
      <c r="G8" s="192">
        <v>2021</v>
      </c>
      <c r="H8" s="192">
        <v>2022</v>
      </c>
      <c r="I8" s="192">
        <v>2023</v>
      </c>
      <c r="J8" s="192">
        <v>2024</v>
      </c>
      <c r="K8" s="192">
        <v>2025</v>
      </c>
      <c r="L8" s="192">
        <v>2026</v>
      </c>
      <c r="M8" s="192">
        <v>2027</v>
      </c>
      <c r="N8" s="192">
        <v>2028</v>
      </c>
      <c r="O8" s="192">
        <v>2029</v>
      </c>
      <c r="P8" s="192">
        <v>2030</v>
      </c>
      <c r="Q8" s="192">
        <v>2031</v>
      </c>
      <c r="R8" s="192">
        <v>2032</v>
      </c>
      <c r="S8" s="192">
        <v>2033</v>
      </c>
      <c r="T8" s="192">
        <v>2034</v>
      </c>
      <c r="U8" s="192">
        <v>2035</v>
      </c>
      <c r="V8" s="192">
        <v>2036</v>
      </c>
      <c r="W8" s="192">
        <v>2037</v>
      </c>
      <c r="Z8" s="52" cm="1">
        <f t="array" ref="Z8:AS8">years</f>
        <v>2018</v>
      </c>
      <c r="AA8" s="52">
        <v>2019</v>
      </c>
      <c r="AB8" s="52">
        <v>2020</v>
      </c>
      <c r="AC8" s="52">
        <v>2021</v>
      </c>
      <c r="AD8" s="52">
        <v>2022</v>
      </c>
      <c r="AE8" s="52">
        <v>2023</v>
      </c>
      <c r="AF8" s="52">
        <v>2024</v>
      </c>
      <c r="AG8" s="52">
        <v>2025</v>
      </c>
      <c r="AH8" s="52">
        <v>2026</v>
      </c>
      <c r="AI8" s="52">
        <v>2027</v>
      </c>
      <c r="AJ8" s="52">
        <v>2028</v>
      </c>
      <c r="AK8" s="52">
        <v>2029</v>
      </c>
      <c r="AL8" s="52">
        <v>2030</v>
      </c>
      <c r="AM8" s="52">
        <v>2031</v>
      </c>
      <c r="AN8" s="52">
        <v>2032</v>
      </c>
      <c r="AO8" s="52">
        <v>2033</v>
      </c>
      <c r="AP8" s="52">
        <v>2034</v>
      </c>
      <c r="AQ8" s="52">
        <v>2035</v>
      </c>
      <c r="AR8" s="52">
        <v>2036</v>
      </c>
      <c r="AS8" s="52">
        <v>2037</v>
      </c>
      <c r="AV8" s="52" cm="1">
        <f t="array" ref="AV8:BO8">years</f>
        <v>2018</v>
      </c>
      <c r="AW8" s="52">
        <v>2019</v>
      </c>
      <c r="AX8" s="52">
        <v>2020</v>
      </c>
      <c r="AY8" s="52">
        <v>2021</v>
      </c>
      <c r="AZ8" s="52">
        <v>2022</v>
      </c>
      <c r="BA8" s="52">
        <v>2023</v>
      </c>
      <c r="BB8" s="52">
        <v>2024</v>
      </c>
      <c r="BC8" s="52">
        <v>2025</v>
      </c>
      <c r="BD8" s="52">
        <v>2026</v>
      </c>
      <c r="BE8" s="52">
        <v>2027</v>
      </c>
      <c r="BF8" s="52">
        <v>2028</v>
      </c>
      <c r="BG8" s="52">
        <v>2029</v>
      </c>
      <c r="BH8" s="52">
        <v>2030</v>
      </c>
      <c r="BI8" s="52">
        <v>2031</v>
      </c>
      <c r="BJ8" s="52">
        <v>2032</v>
      </c>
      <c r="BK8" s="52">
        <v>2033</v>
      </c>
      <c r="BL8" s="52">
        <v>2034</v>
      </c>
      <c r="BM8" s="52">
        <v>2035</v>
      </c>
      <c r="BN8" s="52">
        <v>2036</v>
      </c>
      <c r="BO8" s="52">
        <v>2037</v>
      </c>
    </row>
    <row r="9" spans="1:67" x14ac:dyDescent="0.35">
      <c r="A9" s="17" t="str" cm="1">
        <f t="array" ref="A9:A24">core_elements</f>
        <v>Application server hardware</v>
      </c>
      <c r="B9" s="17"/>
      <c r="C9" s="17"/>
      <c r="D9" s="26" cm="1">
        <f t="array" ref="D9:W24">core_number_opex*unit_costs_core_opex</f>
        <v>2478736.0364265977</v>
      </c>
      <c r="E9" s="26">
        <v>2580364.213920089</v>
      </c>
      <c r="F9" s="26">
        <v>2665516.2329794513</v>
      </c>
      <c r="G9" s="26">
        <v>2785464.4634635267</v>
      </c>
      <c r="H9" s="26">
        <v>2977661.5114425099</v>
      </c>
      <c r="I9" s="26">
        <v>3156321.2021290604</v>
      </c>
      <c r="J9" s="71">
        <v>3314137.262235513</v>
      </c>
      <c r="K9" s="71">
        <v>3463273.4390361113</v>
      </c>
      <c r="L9" s="71">
        <v>3619120.743792736</v>
      </c>
      <c r="M9" s="71">
        <v>3781981.1772634089</v>
      </c>
      <c r="N9" s="71">
        <v>3952170.3302402627</v>
      </c>
      <c r="O9" s="71">
        <v>4130017.9951010738</v>
      </c>
      <c r="P9" s="71">
        <v>4315868.8048806228</v>
      </c>
      <c r="Q9" s="71">
        <v>4510082.90110025</v>
      </c>
      <c r="R9" s="71">
        <v>4713036.6316497624</v>
      </c>
      <c r="S9" s="26">
        <v>4925123.2800739994</v>
      </c>
      <c r="T9" s="26">
        <v>5146753.82767733</v>
      </c>
      <c r="U9" s="26">
        <v>5378357.7499228092</v>
      </c>
      <c r="V9" s="26">
        <v>5620383.8486693352</v>
      </c>
      <c r="W9" s="26">
        <v>5873301.1218594545</v>
      </c>
      <c r="X9" s="81"/>
      <c r="Y9" s="81"/>
      <c r="Z9" s="26" cm="1">
        <f t="array" ref="Z9:AS24">core_number_noincoming_voice_opex*unit_costs_core_opex</f>
        <v>2478736.0364265977</v>
      </c>
      <c r="AA9" s="26">
        <v>2580364.213920089</v>
      </c>
      <c r="AB9" s="26">
        <v>2665516.2329794513</v>
      </c>
      <c r="AC9" s="26">
        <v>2785464.4634635267</v>
      </c>
      <c r="AD9" s="26">
        <v>2977661.5114425099</v>
      </c>
      <c r="AE9" s="26">
        <v>3156321.2021290604</v>
      </c>
      <c r="AF9" s="26">
        <v>3314137.262235513</v>
      </c>
      <c r="AG9" s="26">
        <v>3463273.4390361113</v>
      </c>
      <c r="AH9" s="26">
        <v>3619120.743792736</v>
      </c>
      <c r="AI9" s="26">
        <v>3781981.1772634089</v>
      </c>
      <c r="AJ9" s="26">
        <v>3952170.3302402627</v>
      </c>
      <c r="AK9" s="26">
        <v>4130017.9951010738</v>
      </c>
      <c r="AL9" s="26">
        <v>4315868.8048806228</v>
      </c>
      <c r="AM9" s="26">
        <v>4510082.90110025</v>
      </c>
      <c r="AN9" s="26">
        <v>4713036.6316497624</v>
      </c>
      <c r="AO9" s="26">
        <v>4925123.2800739994</v>
      </c>
      <c r="AP9" s="26">
        <v>5146753.82767733</v>
      </c>
      <c r="AQ9" s="26">
        <v>5378357.7499228092</v>
      </c>
      <c r="AR9" s="26">
        <v>5620383.8486693352</v>
      </c>
      <c r="AS9" s="26">
        <v>5873301.1218594545</v>
      </c>
      <c r="AV9" s="26" cm="1">
        <f t="array" ref="AV9:BO24">unit_costs_core_opex*core_number_incoming_only_opex</f>
        <v>0</v>
      </c>
      <c r="AW9" s="26">
        <v>0</v>
      </c>
      <c r="AX9" s="26">
        <v>0</v>
      </c>
      <c r="AY9" s="26">
        <v>0</v>
      </c>
      <c r="AZ9" s="26">
        <v>0</v>
      </c>
      <c r="BA9" s="26">
        <v>0</v>
      </c>
      <c r="BB9" s="71">
        <v>0</v>
      </c>
      <c r="BC9" s="71">
        <v>0</v>
      </c>
      <c r="BD9" s="71">
        <v>0</v>
      </c>
      <c r="BE9" s="71">
        <v>0</v>
      </c>
      <c r="BF9" s="71">
        <v>0</v>
      </c>
      <c r="BG9" s="71">
        <v>0</v>
      </c>
      <c r="BH9" s="71">
        <v>0</v>
      </c>
      <c r="BI9" s="71">
        <v>0</v>
      </c>
      <c r="BJ9" s="71">
        <v>0</v>
      </c>
      <c r="BK9" s="26">
        <v>0</v>
      </c>
      <c r="BL9" s="26">
        <v>0</v>
      </c>
      <c r="BM9" s="26">
        <v>0</v>
      </c>
      <c r="BN9" s="26">
        <v>0</v>
      </c>
      <c r="BO9" s="26">
        <v>0</v>
      </c>
    </row>
    <row r="10" spans="1:67" x14ac:dyDescent="0.35">
      <c r="A10" s="17" t="str">
        <v>Application server software</v>
      </c>
      <c r="B10" s="17"/>
      <c r="C10" s="17"/>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81"/>
      <c r="Y10" s="81"/>
      <c r="Z10" s="26">
        <v>0</v>
      </c>
      <c r="AA10" s="26">
        <v>0</v>
      </c>
      <c r="AB10" s="26">
        <v>0</v>
      </c>
      <c r="AC10" s="26">
        <v>0</v>
      </c>
      <c r="AD10" s="26">
        <v>0</v>
      </c>
      <c r="AE10" s="26">
        <v>0</v>
      </c>
      <c r="AF10" s="26">
        <v>0</v>
      </c>
      <c r="AG10" s="26">
        <v>0</v>
      </c>
      <c r="AH10" s="26">
        <v>0</v>
      </c>
      <c r="AI10" s="26">
        <v>0</v>
      </c>
      <c r="AJ10" s="26">
        <v>0</v>
      </c>
      <c r="AK10" s="26">
        <v>0</v>
      </c>
      <c r="AL10" s="26">
        <v>0</v>
      </c>
      <c r="AM10" s="26">
        <v>0</v>
      </c>
      <c r="AN10" s="26">
        <v>0</v>
      </c>
      <c r="AO10" s="26">
        <v>0</v>
      </c>
      <c r="AP10" s="26">
        <v>0</v>
      </c>
      <c r="AQ10" s="26">
        <v>0</v>
      </c>
      <c r="AR10" s="26">
        <v>0</v>
      </c>
      <c r="AS10" s="26">
        <v>0</v>
      </c>
      <c r="AV10" s="26">
        <v>0</v>
      </c>
      <c r="AW10" s="26">
        <v>0</v>
      </c>
      <c r="AX10" s="26">
        <v>0</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6">
        <v>0</v>
      </c>
      <c r="BO10" s="26">
        <v>0</v>
      </c>
    </row>
    <row r="11" spans="1:67" x14ac:dyDescent="0.35">
      <c r="A11" s="17" t="str">
        <v>Charging data function hardware</v>
      </c>
      <c r="B11" s="17"/>
      <c r="C11" s="17"/>
      <c r="D11" s="26">
        <v>254322.73818184127</v>
      </c>
      <c r="E11" s="26">
        <v>264749.97044729674</v>
      </c>
      <c r="F11" s="26">
        <v>273486.71947205759</v>
      </c>
      <c r="G11" s="26">
        <v>285793.62184830016</v>
      </c>
      <c r="H11" s="26">
        <v>305513.38175583282</v>
      </c>
      <c r="I11" s="26">
        <v>323844.18466118281</v>
      </c>
      <c r="J11" s="26">
        <v>340036.39389424189</v>
      </c>
      <c r="K11" s="26">
        <v>355338.03161948285</v>
      </c>
      <c r="L11" s="26">
        <v>371328.24304235954</v>
      </c>
      <c r="M11" s="26">
        <v>388038.0139792657</v>
      </c>
      <c r="N11" s="26">
        <v>405499.72460833262</v>
      </c>
      <c r="O11" s="26">
        <v>423747.21221570758</v>
      </c>
      <c r="P11" s="26">
        <v>442815.83676541439</v>
      </c>
      <c r="Q11" s="26">
        <v>462742.54941985809</v>
      </c>
      <c r="R11" s="26">
        <v>483565.96414375171</v>
      </c>
      <c r="S11" s="26">
        <v>505326.43253022048</v>
      </c>
      <c r="T11" s="26">
        <v>528066.12199408037</v>
      </c>
      <c r="U11" s="26">
        <v>551829.09748381388</v>
      </c>
      <c r="V11" s="26">
        <v>576661.4068705854</v>
      </c>
      <c r="W11" s="26">
        <v>602611.17017976171</v>
      </c>
      <c r="X11" s="81"/>
      <c r="Y11" s="81"/>
      <c r="Z11" s="26">
        <v>254322.73818184127</v>
      </c>
      <c r="AA11" s="26">
        <v>264749.97044729674</v>
      </c>
      <c r="AB11" s="26">
        <v>273486.71947205759</v>
      </c>
      <c r="AC11" s="26">
        <v>285793.62184830016</v>
      </c>
      <c r="AD11" s="26">
        <v>305513.38175583282</v>
      </c>
      <c r="AE11" s="26">
        <v>323844.18466118281</v>
      </c>
      <c r="AF11" s="26">
        <v>340036.39389424189</v>
      </c>
      <c r="AG11" s="26">
        <v>355338.03161948285</v>
      </c>
      <c r="AH11" s="26">
        <v>371328.24304235954</v>
      </c>
      <c r="AI11" s="26">
        <v>388038.0139792657</v>
      </c>
      <c r="AJ11" s="26">
        <v>405499.72460833262</v>
      </c>
      <c r="AK11" s="26">
        <v>423747.21221570758</v>
      </c>
      <c r="AL11" s="26">
        <v>442815.83676541439</v>
      </c>
      <c r="AM11" s="26">
        <v>462742.54941985809</v>
      </c>
      <c r="AN11" s="26">
        <v>483565.96414375171</v>
      </c>
      <c r="AO11" s="26">
        <v>505326.43253022048</v>
      </c>
      <c r="AP11" s="26">
        <v>528066.12199408037</v>
      </c>
      <c r="AQ11" s="26">
        <v>551829.09748381388</v>
      </c>
      <c r="AR11" s="26">
        <v>576661.4068705854</v>
      </c>
      <c r="AS11" s="26">
        <v>602611.17017976171</v>
      </c>
      <c r="AV11" s="26">
        <v>0</v>
      </c>
      <c r="AW11" s="26">
        <v>0</v>
      </c>
      <c r="AX11" s="26">
        <v>0</v>
      </c>
      <c r="AY11" s="26">
        <v>0</v>
      </c>
      <c r="AZ11" s="26">
        <v>0</v>
      </c>
      <c r="BA11" s="26">
        <v>0</v>
      </c>
      <c r="BB11" s="26">
        <v>0</v>
      </c>
      <c r="BC11" s="26">
        <v>0</v>
      </c>
      <c r="BD11" s="26">
        <v>0</v>
      </c>
      <c r="BE11" s="26">
        <v>0</v>
      </c>
      <c r="BF11" s="26">
        <v>0</v>
      </c>
      <c r="BG11" s="26">
        <v>0</v>
      </c>
      <c r="BH11" s="26">
        <v>0</v>
      </c>
      <c r="BI11" s="26">
        <v>0</v>
      </c>
      <c r="BJ11" s="26">
        <v>0</v>
      </c>
      <c r="BK11" s="26">
        <v>0</v>
      </c>
      <c r="BL11" s="26">
        <v>0</v>
      </c>
      <c r="BM11" s="26">
        <v>0</v>
      </c>
      <c r="BN11" s="26">
        <v>0</v>
      </c>
      <c r="BO11" s="26">
        <v>0</v>
      </c>
    </row>
    <row r="12" spans="1:67" x14ac:dyDescent="0.35">
      <c r="A12" s="17" t="str">
        <v>Charging data function software</v>
      </c>
      <c r="B12" s="17"/>
      <c r="C12" s="17"/>
      <c r="D12" s="26">
        <v>25437.502492900036</v>
      </c>
      <c r="E12" s="26">
        <v>26480.440095108941</v>
      </c>
      <c r="F12" s="26">
        <v>27354.294618247532</v>
      </c>
      <c r="G12" s="26">
        <v>28585.237876068673</v>
      </c>
      <c r="H12" s="26">
        <v>30557.619289517403</v>
      </c>
      <c r="I12" s="26">
        <v>32391.076446888452</v>
      </c>
      <c r="J12" s="26">
        <v>34010.630269232875</v>
      </c>
      <c r="K12" s="26">
        <v>35541.108631348347</v>
      </c>
      <c r="L12" s="26">
        <v>26971.047258396433</v>
      </c>
      <c r="M12" s="26">
        <v>28184.744385024271</v>
      </c>
      <c r="N12" s="26">
        <v>29453.057882350371</v>
      </c>
      <c r="O12" s="26">
        <v>30778.445487056131</v>
      </c>
      <c r="P12" s="26">
        <v>32163.475533973655</v>
      </c>
      <c r="Q12" s="26">
        <v>33610.831933002468</v>
      </c>
      <c r="R12" s="26">
        <v>35123.319369987585</v>
      </c>
      <c r="S12" s="26">
        <v>36703.868741637023</v>
      </c>
      <c r="T12" s="26">
        <v>38355.542835010689</v>
      </c>
      <c r="U12" s="26">
        <v>40081.542262586154</v>
      </c>
      <c r="V12" s="26">
        <v>41885.211664402537</v>
      </c>
      <c r="W12" s="26">
        <v>43770.046189300643</v>
      </c>
      <c r="X12" s="81"/>
      <c r="Y12" s="81"/>
      <c r="Z12" s="26">
        <v>18775.299459045262</v>
      </c>
      <c r="AA12" s="26">
        <v>19545.086736866124</v>
      </c>
      <c r="AB12" s="26">
        <v>20190.074599182703</v>
      </c>
      <c r="AC12" s="26">
        <v>21098.627956145927</v>
      </c>
      <c r="AD12" s="26">
        <v>22554.433285119987</v>
      </c>
      <c r="AE12" s="26">
        <v>23907.699282227193</v>
      </c>
      <c r="AF12" s="26">
        <v>25103.084246338549</v>
      </c>
      <c r="AG12" s="26">
        <v>26232.723037423781</v>
      </c>
      <c r="AH12" s="26">
        <v>19012.37757559093</v>
      </c>
      <c r="AI12" s="26">
        <v>19867.934566492517</v>
      </c>
      <c r="AJ12" s="26">
        <v>20761.991621984685</v>
      </c>
      <c r="AK12" s="26">
        <v>21696.281244973994</v>
      </c>
      <c r="AL12" s="26">
        <v>22672.613900997821</v>
      </c>
      <c r="AM12" s="26">
        <v>23692.881526542726</v>
      </c>
      <c r="AN12" s="26">
        <v>24759.061195237147</v>
      </c>
      <c r="AO12" s="26">
        <v>25873.218949022819</v>
      </c>
      <c r="AP12" s="26">
        <v>27037.513801728845</v>
      </c>
      <c r="AQ12" s="26">
        <v>28254.201922806635</v>
      </c>
      <c r="AR12" s="26">
        <v>29525.641009332936</v>
      </c>
      <c r="AS12" s="26">
        <v>30854.294854752912</v>
      </c>
      <c r="AV12" s="26">
        <v>6662.2030338547711</v>
      </c>
      <c r="AW12" s="26">
        <v>6935.3533582428172</v>
      </c>
      <c r="AX12" s="26">
        <v>7164.22001906483</v>
      </c>
      <c r="AY12" s="26">
        <v>7486.6099199227483</v>
      </c>
      <c r="AZ12" s="26">
        <v>8003.1860043974157</v>
      </c>
      <c r="BA12" s="26">
        <v>8483.3771646612622</v>
      </c>
      <c r="BB12" s="26">
        <v>8907.5460228943248</v>
      </c>
      <c r="BC12" s="26">
        <v>9308.3855939245677</v>
      </c>
      <c r="BD12" s="26">
        <v>7958.6696828055055</v>
      </c>
      <c r="BE12" s="26">
        <v>8316.8098185317522</v>
      </c>
      <c r="BF12" s="26">
        <v>8691.066260365682</v>
      </c>
      <c r="BG12" s="26">
        <v>9082.1642420821372</v>
      </c>
      <c r="BH12" s="26">
        <v>9490.8616329758333</v>
      </c>
      <c r="BI12" s="26">
        <v>9917.9504064597459</v>
      </c>
      <c r="BJ12" s="26">
        <v>10364.258174750434</v>
      </c>
      <c r="BK12" s="26">
        <v>10830.649792614204</v>
      </c>
      <c r="BL12" s="26">
        <v>11318.029033281842</v>
      </c>
      <c r="BM12" s="26">
        <v>11827.340339779521</v>
      </c>
      <c r="BN12" s="26">
        <v>12359.570655069601</v>
      </c>
      <c r="BO12" s="26">
        <v>12915.751334547731</v>
      </c>
    </row>
    <row r="13" spans="1:67" x14ac:dyDescent="0.35">
      <c r="A13" s="17" t="str">
        <v>Proxy - Call session control function hardware</v>
      </c>
      <c r="B13" s="17"/>
      <c r="C13" s="17"/>
      <c r="D13" s="26">
        <v>862232.42541260179</v>
      </c>
      <c r="E13" s="26">
        <v>897583.95485451864</v>
      </c>
      <c r="F13" s="26">
        <v>927204.22536471777</v>
      </c>
      <c r="G13" s="26">
        <v>968928.41550612997</v>
      </c>
      <c r="H13" s="26">
        <v>1035784.4761760528</v>
      </c>
      <c r="I13" s="26">
        <v>1097931.5447466159</v>
      </c>
      <c r="J13" s="26">
        <v>1152828.1219839468</v>
      </c>
      <c r="K13" s="26">
        <v>1204705.3874732244</v>
      </c>
      <c r="L13" s="26">
        <v>1258917.1299095196</v>
      </c>
      <c r="M13" s="26">
        <v>1315568.4007554478</v>
      </c>
      <c r="N13" s="26">
        <v>1374768.9787894429</v>
      </c>
      <c r="O13" s="26">
        <v>1436633.5828349679</v>
      </c>
      <c r="P13" s="26">
        <v>1501282.0940625411</v>
      </c>
      <c r="Q13" s="26">
        <v>1568839.7882953554</v>
      </c>
      <c r="R13" s="26">
        <v>1639437.5787686468</v>
      </c>
      <c r="S13" s="26">
        <v>1713212.2698132354</v>
      </c>
      <c r="T13" s="26">
        <v>1790306.821954831</v>
      </c>
      <c r="U13" s="26">
        <v>1870870.6289427984</v>
      </c>
      <c r="V13" s="26">
        <v>1955059.8072452238</v>
      </c>
      <c r="W13" s="26">
        <v>2043037.4985712585</v>
      </c>
      <c r="X13" s="81"/>
      <c r="Y13" s="81"/>
      <c r="Z13" s="26">
        <v>862232.42541260179</v>
      </c>
      <c r="AA13" s="26">
        <v>897583.95485451864</v>
      </c>
      <c r="AB13" s="26">
        <v>927204.22536471777</v>
      </c>
      <c r="AC13" s="26">
        <v>968928.41550612997</v>
      </c>
      <c r="AD13" s="26">
        <v>1035784.4761760528</v>
      </c>
      <c r="AE13" s="26">
        <v>1097931.5447466159</v>
      </c>
      <c r="AF13" s="26">
        <v>1152828.1219839468</v>
      </c>
      <c r="AG13" s="26">
        <v>1204705.3874732244</v>
      </c>
      <c r="AH13" s="26">
        <v>1258917.1299095196</v>
      </c>
      <c r="AI13" s="26">
        <v>1315568.4007554478</v>
      </c>
      <c r="AJ13" s="26">
        <v>1374768.9787894429</v>
      </c>
      <c r="AK13" s="26">
        <v>1436633.5828349679</v>
      </c>
      <c r="AL13" s="26">
        <v>1501282.0940625411</v>
      </c>
      <c r="AM13" s="26">
        <v>1568839.7882953554</v>
      </c>
      <c r="AN13" s="26">
        <v>1639437.5787686468</v>
      </c>
      <c r="AO13" s="26">
        <v>1713212.2698132354</v>
      </c>
      <c r="AP13" s="26">
        <v>1790306.821954831</v>
      </c>
      <c r="AQ13" s="26">
        <v>1870870.6289427984</v>
      </c>
      <c r="AR13" s="26">
        <v>1955059.8072452238</v>
      </c>
      <c r="AS13" s="26">
        <v>2043037.4985712585</v>
      </c>
      <c r="AV13" s="26">
        <v>0</v>
      </c>
      <c r="AW13" s="26">
        <v>0</v>
      </c>
      <c r="AX13" s="26">
        <v>0</v>
      </c>
      <c r="AY13" s="26">
        <v>0</v>
      </c>
      <c r="AZ13" s="26">
        <v>0</v>
      </c>
      <c r="BA13" s="26">
        <v>0</v>
      </c>
      <c r="BB13" s="26">
        <v>0</v>
      </c>
      <c r="BC13" s="26">
        <v>0</v>
      </c>
      <c r="BD13" s="26">
        <v>0</v>
      </c>
      <c r="BE13" s="26">
        <v>0</v>
      </c>
      <c r="BF13" s="26">
        <v>0</v>
      </c>
      <c r="BG13" s="26">
        <v>0</v>
      </c>
      <c r="BH13" s="26">
        <v>0</v>
      </c>
      <c r="BI13" s="26">
        <v>0</v>
      </c>
      <c r="BJ13" s="26">
        <v>0</v>
      </c>
      <c r="BK13" s="26">
        <v>0</v>
      </c>
      <c r="BL13" s="26">
        <v>0</v>
      </c>
      <c r="BM13" s="26">
        <v>0</v>
      </c>
      <c r="BN13" s="26">
        <v>0</v>
      </c>
      <c r="BO13" s="26">
        <v>0</v>
      </c>
    </row>
    <row r="14" spans="1:67" x14ac:dyDescent="0.35">
      <c r="A14" s="17" t="str">
        <v>Proxy - Call session control function software</v>
      </c>
      <c r="B14" s="17"/>
      <c r="C14" s="17"/>
      <c r="D14" s="26">
        <v>1680365.3368254364</v>
      </c>
      <c r="E14" s="26">
        <v>1749260.3156352795</v>
      </c>
      <c r="F14" s="26">
        <v>1806985.9060512439</v>
      </c>
      <c r="G14" s="26">
        <v>1888300.2718235496</v>
      </c>
      <c r="H14" s="26">
        <v>2018592.9905793741</v>
      </c>
      <c r="I14" s="26">
        <v>2139708.5700141368</v>
      </c>
      <c r="J14" s="26">
        <v>2246693.9985148436</v>
      </c>
      <c r="K14" s="26">
        <v>2347795.2284480119</v>
      </c>
      <c r="L14" s="26">
        <v>1789269.263220662</v>
      </c>
      <c r="M14" s="26">
        <v>1869786.380065592</v>
      </c>
      <c r="N14" s="26">
        <v>1953926.7671685438</v>
      </c>
      <c r="O14" s="26">
        <v>2041853.4716911279</v>
      </c>
      <c r="P14" s="26">
        <v>2133736.8779172287</v>
      </c>
      <c r="Q14" s="26">
        <v>2229755.0374235041</v>
      </c>
      <c r="R14" s="26">
        <v>2330094.0141075612</v>
      </c>
      <c r="S14" s="26">
        <v>2434948.2447424014</v>
      </c>
      <c r="T14" s="26">
        <v>2544520.9157558093</v>
      </c>
      <c r="U14" s="26">
        <v>2659024.356964821</v>
      </c>
      <c r="V14" s="26">
        <v>2778680.453028237</v>
      </c>
      <c r="W14" s="26">
        <v>2903721.0734145078</v>
      </c>
      <c r="X14" s="81"/>
      <c r="Y14" s="81"/>
      <c r="Z14" s="26">
        <v>1241156.6606890329</v>
      </c>
      <c r="AA14" s="26">
        <v>1292044.0837772836</v>
      </c>
      <c r="AB14" s="26">
        <v>1334681.538541934</v>
      </c>
      <c r="AC14" s="26">
        <v>1394742.2077763209</v>
      </c>
      <c r="AD14" s="26">
        <v>1490979.4201128867</v>
      </c>
      <c r="AE14" s="26">
        <v>1580438.1853196598</v>
      </c>
      <c r="AF14" s="26">
        <v>1659460.0945856431</v>
      </c>
      <c r="AG14" s="26">
        <v>1734135.798841997</v>
      </c>
      <c r="AH14" s="26">
        <v>1248194.2380227339</v>
      </c>
      <c r="AI14" s="26">
        <v>1304362.978733757</v>
      </c>
      <c r="AJ14" s="26">
        <v>1363059.312776776</v>
      </c>
      <c r="AK14" s="26">
        <v>1424396.9818517307</v>
      </c>
      <c r="AL14" s="26">
        <v>1488494.8460350588</v>
      </c>
      <c r="AM14" s="26">
        <v>1555477.1141066363</v>
      </c>
      <c r="AN14" s="26">
        <v>1625473.5842414349</v>
      </c>
      <c r="AO14" s="26">
        <v>1698619.8955322993</v>
      </c>
      <c r="AP14" s="26">
        <v>1775057.7908312527</v>
      </c>
      <c r="AQ14" s="26">
        <v>1854935.3914186591</v>
      </c>
      <c r="AR14" s="26">
        <v>1938407.4840324982</v>
      </c>
      <c r="AS14" s="26">
        <v>2025635.8208139606</v>
      </c>
      <c r="AV14" s="26">
        <v>439208.67613640346</v>
      </c>
      <c r="AW14" s="26">
        <v>457216.23185799603</v>
      </c>
      <c r="AX14" s="26">
        <v>472304.36750930996</v>
      </c>
      <c r="AY14" s="26">
        <v>493558.06404722889</v>
      </c>
      <c r="AZ14" s="26">
        <v>527613.57046648755</v>
      </c>
      <c r="BA14" s="26">
        <v>559270.38469447684</v>
      </c>
      <c r="BB14" s="26">
        <v>587233.90392920072</v>
      </c>
      <c r="BC14" s="26">
        <v>613659.42960601475</v>
      </c>
      <c r="BD14" s="26">
        <v>541075.02519792819</v>
      </c>
      <c r="BE14" s="26">
        <v>565423.40133183508</v>
      </c>
      <c r="BF14" s="26">
        <v>590867.45439176762</v>
      </c>
      <c r="BG14" s="26">
        <v>617456.48983939702</v>
      </c>
      <c r="BH14" s="26">
        <v>645242.03188217001</v>
      </c>
      <c r="BI14" s="26">
        <v>674277.92331686756</v>
      </c>
      <c r="BJ14" s="26">
        <v>704620.42986612662</v>
      </c>
      <c r="BK14" s="26">
        <v>736328.34921010223</v>
      </c>
      <c r="BL14" s="26">
        <v>769463.1249245567</v>
      </c>
      <c r="BM14" s="26">
        <v>804088.96554616187</v>
      </c>
      <c r="BN14" s="26">
        <v>840272.96899573889</v>
      </c>
      <c r="BO14" s="26">
        <v>878085.25260054716</v>
      </c>
    </row>
    <row r="15" spans="1:67" x14ac:dyDescent="0.35">
      <c r="A15" s="17" t="str">
        <v>Interrogating - Call session control function hardware</v>
      </c>
      <c r="B15" s="17"/>
      <c r="C15" s="17"/>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81"/>
      <c r="Y15" s="81"/>
      <c r="Z15" s="26">
        <v>0</v>
      </c>
      <c r="AA15" s="26">
        <v>0</v>
      </c>
      <c r="AB15" s="26">
        <v>0</v>
      </c>
      <c r="AC15" s="26">
        <v>0</v>
      </c>
      <c r="AD15" s="26">
        <v>0</v>
      </c>
      <c r="AE15" s="26">
        <v>0</v>
      </c>
      <c r="AF15" s="26">
        <v>0</v>
      </c>
      <c r="AG15" s="26">
        <v>0</v>
      </c>
      <c r="AH15" s="26">
        <v>0</v>
      </c>
      <c r="AI15" s="26">
        <v>0</v>
      </c>
      <c r="AJ15" s="26">
        <v>0</v>
      </c>
      <c r="AK15" s="26">
        <v>0</v>
      </c>
      <c r="AL15" s="26">
        <v>0</v>
      </c>
      <c r="AM15" s="26">
        <v>0</v>
      </c>
      <c r="AN15" s="26">
        <v>0</v>
      </c>
      <c r="AO15" s="26">
        <v>0</v>
      </c>
      <c r="AP15" s="26">
        <v>0</v>
      </c>
      <c r="AQ15" s="26">
        <v>0</v>
      </c>
      <c r="AR15" s="26">
        <v>0</v>
      </c>
      <c r="AS15" s="26">
        <v>0</v>
      </c>
      <c r="AV15" s="26">
        <v>0</v>
      </c>
      <c r="AW15" s="26">
        <v>0</v>
      </c>
      <c r="AX15" s="26">
        <v>0</v>
      </c>
      <c r="AY15" s="26">
        <v>0</v>
      </c>
      <c r="AZ15" s="26">
        <v>0</v>
      </c>
      <c r="BA15" s="26">
        <v>0</v>
      </c>
      <c r="BB15" s="26">
        <v>0</v>
      </c>
      <c r="BC15" s="26">
        <v>0</v>
      </c>
      <c r="BD15" s="26">
        <v>0</v>
      </c>
      <c r="BE15" s="26">
        <v>0</v>
      </c>
      <c r="BF15" s="26">
        <v>0</v>
      </c>
      <c r="BG15" s="26">
        <v>0</v>
      </c>
      <c r="BH15" s="26">
        <v>0</v>
      </c>
      <c r="BI15" s="26">
        <v>0</v>
      </c>
      <c r="BJ15" s="26">
        <v>0</v>
      </c>
      <c r="BK15" s="26">
        <v>0</v>
      </c>
      <c r="BL15" s="26">
        <v>0</v>
      </c>
      <c r="BM15" s="26">
        <v>0</v>
      </c>
      <c r="BN15" s="26">
        <v>0</v>
      </c>
      <c r="BO15" s="26">
        <v>0</v>
      </c>
    </row>
    <row r="16" spans="1:67" x14ac:dyDescent="0.35">
      <c r="A16" s="17" t="str">
        <v>Interrogating - Call session control function software</v>
      </c>
      <c r="B16" s="17"/>
      <c r="C16" s="17"/>
      <c r="D16" s="26">
        <v>336073.06736508728</v>
      </c>
      <c r="E16" s="26">
        <v>349852.06312705588</v>
      </c>
      <c r="F16" s="26">
        <v>361397.18121024873</v>
      </c>
      <c r="G16" s="26">
        <v>377660.05436470994</v>
      </c>
      <c r="H16" s="26">
        <v>403718.59811587486</v>
      </c>
      <c r="I16" s="26">
        <v>427941.7140028273</v>
      </c>
      <c r="J16" s="26">
        <v>449338.79970296868</v>
      </c>
      <c r="K16" s="26">
        <v>469559.04568960232</v>
      </c>
      <c r="L16" s="26">
        <v>357853.85264413245</v>
      </c>
      <c r="M16" s="26">
        <v>373957.27601311833</v>
      </c>
      <c r="N16" s="26">
        <v>390785.35343370866</v>
      </c>
      <c r="O16" s="26">
        <v>408370.69433822558</v>
      </c>
      <c r="P16" s="26">
        <v>426747.37558344577</v>
      </c>
      <c r="Q16" s="26">
        <v>445951.00748470076</v>
      </c>
      <c r="R16" s="26">
        <v>466018.80282151228</v>
      </c>
      <c r="S16" s="26">
        <v>486989.64894848026</v>
      </c>
      <c r="T16" s="26">
        <v>508904.18315116176</v>
      </c>
      <c r="U16" s="26">
        <v>531804.87139296415</v>
      </c>
      <c r="V16" s="26">
        <v>555736.09060564742</v>
      </c>
      <c r="W16" s="26">
        <v>580744.21468290151</v>
      </c>
      <c r="X16" s="81"/>
      <c r="Y16" s="81"/>
      <c r="Z16" s="26">
        <v>248231.3321378066</v>
      </c>
      <c r="AA16" s="26">
        <v>258408.81675545668</v>
      </c>
      <c r="AB16" s="26">
        <v>266936.30770838674</v>
      </c>
      <c r="AC16" s="26">
        <v>278948.44155526417</v>
      </c>
      <c r="AD16" s="26">
        <v>298195.88402257732</v>
      </c>
      <c r="AE16" s="26">
        <v>316087.63706393196</v>
      </c>
      <c r="AF16" s="26">
        <v>331892.01891712856</v>
      </c>
      <c r="AG16" s="26">
        <v>346827.15976839938</v>
      </c>
      <c r="AH16" s="26">
        <v>249638.84760454678</v>
      </c>
      <c r="AI16" s="26">
        <v>260872.59574675135</v>
      </c>
      <c r="AJ16" s="26">
        <v>272611.86255535518</v>
      </c>
      <c r="AK16" s="26">
        <v>284879.39637034613</v>
      </c>
      <c r="AL16" s="26">
        <v>297698.96920701175</v>
      </c>
      <c r="AM16" s="26">
        <v>311095.42282132723</v>
      </c>
      <c r="AN16" s="26">
        <v>325094.71684828697</v>
      </c>
      <c r="AO16" s="26">
        <v>339723.97910645982</v>
      </c>
      <c r="AP16" s="26">
        <v>355011.55816625047</v>
      </c>
      <c r="AQ16" s="26">
        <v>370987.07828373183</v>
      </c>
      <c r="AR16" s="26">
        <v>387681.49680649966</v>
      </c>
      <c r="AS16" s="26">
        <v>405127.16416279209</v>
      </c>
      <c r="AV16" s="26">
        <v>87841.735227280689</v>
      </c>
      <c r="AW16" s="26">
        <v>91443.246371599205</v>
      </c>
      <c r="AX16" s="26">
        <v>94460.873501861977</v>
      </c>
      <c r="AY16" s="26">
        <v>98711.612809445767</v>
      </c>
      <c r="AZ16" s="26">
        <v>105522.7140932975</v>
      </c>
      <c r="BA16" s="26">
        <v>111854.07693889535</v>
      </c>
      <c r="BB16" s="26">
        <v>117446.78078584012</v>
      </c>
      <c r="BC16" s="26">
        <v>122731.88592120293</v>
      </c>
      <c r="BD16" s="26">
        <v>108215.00503958565</v>
      </c>
      <c r="BE16" s="26">
        <v>113084.68026636698</v>
      </c>
      <c r="BF16" s="26">
        <v>118173.49087835351</v>
      </c>
      <c r="BG16" s="26">
        <v>123491.29796787941</v>
      </c>
      <c r="BH16" s="26">
        <v>129048.406376434</v>
      </c>
      <c r="BI16" s="26">
        <v>134855.58466337351</v>
      </c>
      <c r="BJ16" s="26">
        <v>140924.0859732253</v>
      </c>
      <c r="BK16" s="26">
        <v>147265.66984202043</v>
      </c>
      <c r="BL16" s="26">
        <v>153892.62498491132</v>
      </c>
      <c r="BM16" s="26">
        <v>160817.79310923236</v>
      </c>
      <c r="BN16" s="26">
        <v>168054.59379914778</v>
      </c>
      <c r="BO16" s="26">
        <v>175617.05052010939</v>
      </c>
    </row>
    <row r="17" spans="1:68" x14ac:dyDescent="0.35">
      <c r="A17" s="17" t="str">
        <v>Serving - Call session control function hardware</v>
      </c>
      <c r="B17" s="17"/>
      <c r="C17" s="17"/>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81"/>
      <c r="Y17" s="81"/>
      <c r="Z17" s="26">
        <v>0</v>
      </c>
      <c r="AA17" s="26">
        <v>0</v>
      </c>
      <c r="AB17" s="26">
        <v>0</v>
      </c>
      <c r="AC17" s="26">
        <v>0</v>
      </c>
      <c r="AD17" s="26">
        <v>0</v>
      </c>
      <c r="AE17" s="26">
        <v>0</v>
      </c>
      <c r="AF17" s="26">
        <v>0</v>
      </c>
      <c r="AG17" s="26">
        <v>0</v>
      </c>
      <c r="AH17" s="26">
        <v>0</v>
      </c>
      <c r="AI17" s="26">
        <v>0</v>
      </c>
      <c r="AJ17" s="26">
        <v>0</v>
      </c>
      <c r="AK17" s="26">
        <v>0</v>
      </c>
      <c r="AL17" s="26">
        <v>0</v>
      </c>
      <c r="AM17" s="26">
        <v>0</v>
      </c>
      <c r="AN17" s="26">
        <v>0</v>
      </c>
      <c r="AO17" s="26">
        <v>0</v>
      </c>
      <c r="AP17" s="26">
        <v>0</v>
      </c>
      <c r="AQ17" s="26">
        <v>0</v>
      </c>
      <c r="AR17" s="26">
        <v>0</v>
      </c>
      <c r="AS17" s="26">
        <v>0</v>
      </c>
      <c r="AV17" s="26">
        <v>0</v>
      </c>
      <c r="AW17" s="26">
        <v>0</v>
      </c>
      <c r="AX17" s="26">
        <v>0</v>
      </c>
      <c r="AY17" s="26">
        <v>0</v>
      </c>
      <c r="AZ17" s="26">
        <v>0</v>
      </c>
      <c r="BA17" s="26">
        <v>0</v>
      </c>
      <c r="BB17" s="26">
        <v>0</v>
      </c>
      <c r="BC17" s="26">
        <v>0</v>
      </c>
      <c r="BD17" s="26">
        <v>0</v>
      </c>
      <c r="BE17" s="26">
        <v>0</v>
      </c>
      <c r="BF17" s="26">
        <v>0</v>
      </c>
      <c r="BG17" s="26">
        <v>0</v>
      </c>
      <c r="BH17" s="26">
        <v>0</v>
      </c>
      <c r="BI17" s="26">
        <v>0</v>
      </c>
      <c r="BJ17" s="26">
        <v>0</v>
      </c>
      <c r="BK17" s="26">
        <v>0</v>
      </c>
      <c r="BL17" s="26">
        <v>0</v>
      </c>
      <c r="BM17" s="26">
        <v>0</v>
      </c>
      <c r="BN17" s="26">
        <v>0</v>
      </c>
      <c r="BO17" s="26">
        <v>0</v>
      </c>
    </row>
    <row r="18" spans="1:68" x14ac:dyDescent="0.35">
      <c r="A18" s="17" t="str">
        <v>Serving - Call session control function software</v>
      </c>
      <c r="B18" s="17"/>
      <c r="C18" s="17"/>
      <c r="D18" s="26">
        <v>1680365.3368254364</v>
      </c>
      <c r="E18" s="26">
        <v>1749260.3156352795</v>
      </c>
      <c r="F18" s="26">
        <v>1806985.9060512439</v>
      </c>
      <c r="G18" s="26">
        <v>1888300.2718235496</v>
      </c>
      <c r="H18" s="26">
        <v>2018592.9905793741</v>
      </c>
      <c r="I18" s="26">
        <v>2139708.5700141368</v>
      </c>
      <c r="J18" s="26">
        <v>2246693.9985148436</v>
      </c>
      <c r="K18" s="26">
        <v>2347795.2284480119</v>
      </c>
      <c r="L18" s="26">
        <v>1789269.263220662</v>
      </c>
      <c r="M18" s="26">
        <v>1869786.380065592</v>
      </c>
      <c r="N18" s="26">
        <v>1953926.7671685438</v>
      </c>
      <c r="O18" s="26">
        <v>2041853.4716911279</v>
      </c>
      <c r="P18" s="26">
        <v>2133736.8779172287</v>
      </c>
      <c r="Q18" s="26">
        <v>2229755.0374235041</v>
      </c>
      <c r="R18" s="26">
        <v>2330094.0141075612</v>
      </c>
      <c r="S18" s="26">
        <v>2434948.2447424014</v>
      </c>
      <c r="T18" s="26">
        <v>2544520.9157558093</v>
      </c>
      <c r="U18" s="26">
        <v>2659024.356964821</v>
      </c>
      <c r="V18" s="26">
        <v>2778680.453028237</v>
      </c>
      <c r="W18" s="26">
        <v>2903721.0734145078</v>
      </c>
      <c r="X18" s="81"/>
      <c r="Y18" s="81"/>
      <c r="Z18" s="26">
        <v>1241156.6606890329</v>
      </c>
      <c r="AA18" s="26">
        <v>1292044.0837772836</v>
      </c>
      <c r="AB18" s="26">
        <v>1334681.538541934</v>
      </c>
      <c r="AC18" s="26">
        <v>1394742.2077763209</v>
      </c>
      <c r="AD18" s="26">
        <v>1490979.4201128867</v>
      </c>
      <c r="AE18" s="26">
        <v>1580438.1853196598</v>
      </c>
      <c r="AF18" s="26">
        <v>1659460.0945856431</v>
      </c>
      <c r="AG18" s="26">
        <v>1734135.798841997</v>
      </c>
      <c r="AH18" s="26">
        <v>1248194.2380227339</v>
      </c>
      <c r="AI18" s="26">
        <v>1304362.978733757</v>
      </c>
      <c r="AJ18" s="26">
        <v>1363059.312776776</v>
      </c>
      <c r="AK18" s="26">
        <v>1424396.9818517307</v>
      </c>
      <c r="AL18" s="26">
        <v>1488494.8460350588</v>
      </c>
      <c r="AM18" s="26">
        <v>1555477.1141066363</v>
      </c>
      <c r="AN18" s="26">
        <v>1625473.5842414349</v>
      </c>
      <c r="AO18" s="26">
        <v>1698619.8955322993</v>
      </c>
      <c r="AP18" s="26">
        <v>1775057.7908312527</v>
      </c>
      <c r="AQ18" s="26">
        <v>1854935.3914186591</v>
      </c>
      <c r="AR18" s="26">
        <v>1938407.4840324982</v>
      </c>
      <c r="AS18" s="26">
        <v>2025635.8208139606</v>
      </c>
      <c r="AV18" s="26">
        <v>439208.67613640346</v>
      </c>
      <c r="AW18" s="26">
        <v>457216.23185799603</v>
      </c>
      <c r="AX18" s="26">
        <v>472304.36750930996</v>
      </c>
      <c r="AY18" s="26">
        <v>493558.06404722889</v>
      </c>
      <c r="AZ18" s="26">
        <v>527613.57046648755</v>
      </c>
      <c r="BA18" s="26">
        <v>559270.38469447684</v>
      </c>
      <c r="BB18" s="26">
        <v>587233.90392920072</v>
      </c>
      <c r="BC18" s="26">
        <v>613659.42960601475</v>
      </c>
      <c r="BD18" s="26">
        <v>541075.02519792819</v>
      </c>
      <c r="BE18" s="26">
        <v>565423.40133183508</v>
      </c>
      <c r="BF18" s="26">
        <v>590867.45439176762</v>
      </c>
      <c r="BG18" s="26">
        <v>617456.48983939702</v>
      </c>
      <c r="BH18" s="26">
        <v>645242.03188217001</v>
      </c>
      <c r="BI18" s="26">
        <v>674277.92331686756</v>
      </c>
      <c r="BJ18" s="26">
        <v>704620.42986612662</v>
      </c>
      <c r="BK18" s="26">
        <v>736328.34921010223</v>
      </c>
      <c r="BL18" s="26">
        <v>769463.1249245567</v>
      </c>
      <c r="BM18" s="26">
        <v>804088.96554616187</v>
      </c>
      <c r="BN18" s="26">
        <v>840272.96899573889</v>
      </c>
      <c r="BO18" s="26">
        <v>878085.25260054716</v>
      </c>
    </row>
    <row r="19" spans="1:68" x14ac:dyDescent="0.35">
      <c r="A19" s="17" t="str">
        <v>Media resource function - hardware</v>
      </c>
      <c r="B19" s="17"/>
      <c r="C19" s="17"/>
      <c r="D19" s="26">
        <v>1372527.112926261</v>
      </c>
      <c r="E19" s="26">
        <v>1428800.7245562377</v>
      </c>
      <c r="F19" s="26">
        <v>1475951.1484665938</v>
      </c>
      <c r="G19" s="26">
        <v>1542368.9501475906</v>
      </c>
      <c r="H19" s="26">
        <v>1648792.4077077738</v>
      </c>
      <c r="I19" s="26">
        <v>1747719.9521702402</v>
      </c>
      <c r="J19" s="26">
        <v>1835105.9497787524</v>
      </c>
      <c r="K19" s="26">
        <v>1917685.7175187962</v>
      </c>
      <c r="L19" s="26">
        <v>1431415.41057653</v>
      </c>
      <c r="M19" s="26">
        <v>1495829.1040524736</v>
      </c>
      <c r="N19" s="26">
        <v>1563141.4137348349</v>
      </c>
      <c r="O19" s="26">
        <v>1633482.7773529026</v>
      </c>
      <c r="P19" s="26">
        <v>1706989.5023337831</v>
      </c>
      <c r="Q19" s="26">
        <v>1783804.0299388033</v>
      </c>
      <c r="R19" s="26">
        <v>1864075.2112860491</v>
      </c>
      <c r="S19" s="26">
        <v>1947958.5957939213</v>
      </c>
      <c r="T19" s="26">
        <v>2035616.7326046478</v>
      </c>
      <c r="U19" s="26">
        <v>2127219.4855718566</v>
      </c>
      <c r="V19" s="26">
        <v>2222944.3624225901</v>
      </c>
      <c r="W19" s="26">
        <v>2322976.8587316065</v>
      </c>
      <c r="X19" s="81"/>
      <c r="Y19" s="81"/>
      <c r="Z19" s="26">
        <v>784301.20738643489</v>
      </c>
      <c r="AA19" s="26">
        <v>816457.5568892787</v>
      </c>
      <c r="AB19" s="26">
        <v>843400.65626662504</v>
      </c>
      <c r="AC19" s="26">
        <v>881353.68579862313</v>
      </c>
      <c r="AD19" s="26">
        <v>942167.09011872788</v>
      </c>
      <c r="AE19" s="26">
        <v>998697.11552585149</v>
      </c>
      <c r="AF19" s="26">
        <v>1048631.9713021442</v>
      </c>
      <c r="AG19" s="26">
        <v>1095820.4100107406</v>
      </c>
      <c r="AH19" s="26">
        <v>858849.24634591793</v>
      </c>
      <c r="AI19" s="26">
        <v>897497.46243148413</v>
      </c>
      <c r="AJ19" s="26">
        <v>937884.84824090102</v>
      </c>
      <c r="AK19" s="26">
        <v>980089.66641174164</v>
      </c>
      <c r="AL19" s="26">
        <v>1024193.7014002698</v>
      </c>
      <c r="AM19" s="26">
        <v>1070282.417963282</v>
      </c>
      <c r="AN19" s="26">
        <v>1118445.1267716296</v>
      </c>
      <c r="AO19" s="26">
        <v>1168775.1574763528</v>
      </c>
      <c r="AP19" s="26">
        <v>1221370.0395627886</v>
      </c>
      <c r="AQ19" s="26">
        <v>1276331.6913431138</v>
      </c>
      <c r="AR19" s="26">
        <v>1333766.6174535539</v>
      </c>
      <c r="AS19" s="26">
        <v>1393786.1152389639</v>
      </c>
      <c r="AV19" s="26">
        <v>588225.90553982614</v>
      </c>
      <c r="AW19" s="26">
        <v>612343.16766695899</v>
      </c>
      <c r="AX19" s="26">
        <v>632550.49219996878</v>
      </c>
      <c r="AY19" s="26">
        <v>661015.26434896735</v>
      </c>
      <c r="AZ19" s="26">
        <v>706625.31758904597</v>
      </c>
      <c r="BA19" s="26">
        <v>749022.83664438862</v>
      </c>
      <c r="BB19" s="26">
        <v>786473.97847660817</v>
      </c>
      <c r="BC19" s="26">
        <v>821865.30750805547</v>
      </c>
      <c r="BD19" s="26">
        <v>572566.16423061199</v>
      </c>
      <c r="BE19" s="26">
        <v>598331.64162098942</v>
      </c>
      <c r="BF19" s="26">
        <v>625256.56549393397</v>
      </c>
      <c r="BG19" s="26">
        <v>653393.11094116105</v>
      </c>
      <c r="BH19" s="26">
        <v>682795.80093351321</v>
      </c>
      <c r="BI19" s="26">
        <v>713521.61197552131</v>
      </c>
      <c r="BJ19" s="26">
        <v>745630.08451441966</v>
      </c>
      <c r="BK19" s="26">
        <v>779183.43831756851</v>
      </c>
      <c r="BL19" s="26">
        <v>814246.69304185908</v>
      </c>
      <c r="BM19" s="26">
        <v>850887.7942287426</v>
      </c>
      <c r="BN19" s="26">
        <v>889177.74496903596</v>
      </c>
      <c r="BO19" s="26">
        <v>929190.74349264253</v>
      </c>
    </row>
    <row r="20" spans="1:68" x14ac:dyDescent="0.35">
      <c r="A20" s="17" t="str">
        <v>Media resource function - software</v>
      </c>
      <c r="B20" s="17"/>
      <c r="C20" s="17"/>
      <c r="D20" s="26">
        <v>2233787.8762874892</v>
      </c>
      <c r="E20" s="26">
        <v>2325373.1792152771</v>
      </c>
      <c r="F20" s="26">
        <v>2402110.4941293807</v>
      </c>
      <c r="G20" s="26">
        <v>2510205.4663652033</v>
      </c>
      <c r="H20" s="26">
        <v>2683409.643544401</v>
      </c>
      <c r="I20" s="26">
        <v>2844414.2221570658</v>
      </c>
      <c r="J20" s="26">
        <v>2986634.9332649196</v>
      </c>
      <c r="K20" s="26">
        <v>3121033.5052618403</v>
      </c>
      <c r="L20" s="26">
        <v>2336356.233143012</v>
      </c>
      <c r="M20" s="26">
        <v>2441492.2636344465</v>
      </c>
      <c r="N20" s="26">
        <v>2551359.4154979968</v>
      </c>
      <c r="O20" s="26">
        <v>2666170.5891954075</v>
      </c>
      <c r="P20" s="26">
        <v>2786148.2657092009</v>
      </c>
      <c r="Q20" s="26">
        <v>2911524.9376661144</v>
      </c>
      <c r="R20" s="26">
        <v>3042543.5598610896</v>
      </c>
      <c r="S20" s="26">
        <v>3179458.0200548382</v>
      </c>
      <c r="T20" s="26">
        <v>3322533.6309573059</v>
      </c>
      <c r="U20" s="26">
        <v>3472047.6443503834</v>
      </c>
      <c r="V20" s="26">
        <v>3628289.7883461504</v>
      </c>
      <c r="W20" s="26">
        <v>3791562.8288217271</v>
      </c>
      <c r="X20" s="81"/>
      <c r="Y20" s="81"/>
      <c r="Z20" s="26">
        <v>1740985.2843130128</v>
      </c>
      <c r="AA20" s="26">
        <v>1812365.6809698469</v>
      </c>
      <c r="AB20" s="26">
        <v>1872173.7484418515</v>
      </c>
      <c r="AC20" s="26">
        <v>1956421.5671217351</v>
      </c>
      <c r="AD20" s="26">
        <v>2091414.655253134</v>
      </c>
      <c r="AE20" s="26">
        <v>2216899.5345683224</v>
      </c>
      <c r="AF20" s="26">
        <v>2327744.5112967389</v>
      </c>
      <c r="AG20" s="26">
        <v>2432493.0143050915</v>
      </c>
      <c r="AH20" s="26">
        <v>1727670.6867188523</v>
      </c>
      <c r="AI20" s="26">
        <v>1805415.8676212002</v>
      </c>
      <c r="AJ20" s="26">
        <v>1886659.5816641541</v>
      </c>
      <c r="AK20" s="26">
        <v>1971559.2628390414</v>
      </c>
      <c r="AL20" s="26">
        <v>2060279.4296667983</v>
      </c>
      <c r="AM20" s="26">
        <v>2152992.0040018042</v>
      </c>
      <c r="AN20" s="26">
        <v>2249876.6441818853</v>
      </c>
      <c r="AO20" s="26">
        <v>2351121.0931700701</v>
      </c>
      <c r="AP20" s="26">
        <v>2456921.542362723</v>
      </c>
      <c r="AQ20" s="26">
        <v>2567483.0117690442</v>
      </c>
      <c r="AR20" s="26">
        <v>2683019.7472986514</v>
      </c>
      <c r="AS20" s="26">
        <v>2803755.6359270904</v>
      </c>
      <c r="AV20" s="26">
        <v>492802.59197447647</v>
      </c>
      <c r="AW20" s="26">
        <v>513007.49824543012</v>
      </c>
      <c r="AX20" s="26">
        <v>529936.74568752921</v>
      </c>
      <c r="AY20" s="26">
        <v>553783.89924346819</v>
      </c>
      <c r="AZ20" s="26">
        <v>591994.98829126719</v>
      </c>
      <c r="BA20" s="26">
        <v>627514.68758874328</v>
      </c>
      <c r="BB20" s="26">
        <v>658890.42196818057</v>
      </c>
      <c r="BC20" s="26">
        <v>688540.4909567486</v>
      </c>
      <c r="BD20" s="26">
        <v>608685.54642415966</v>
      </c>
      <c r="BE20" s="26">
        <v>636076.39601324673</v>
      </c>
      <c r="BF20" s="26">
        <v>664699.83383384277</v>
      </c>
      <c r="BG20" s="26">
        <v>694611.32635636581</v>
      </c>
      <c r="BH20" s="26">
        <v>725868.83604240243</v>
      </c>
      <c r="BI20" s="26">
        <v>758532.93366431037</v>
      </c>
      <c r="BJ20" s="26">
        <v>792666.91567920439</v>
      </c>
      <c r="BK20" s="26">
        <v>828336.92688476841</v>
      </c>
      <c r="BL20" s="26">
        <v>865612.08859458298</v>
      </c>
      <c r="BM20" s="26">
        <v>904564.63258133887</v>
      </c>
      <c r="BN20" s="26">
        <v>945270.04104749917</v>
      </c>
      <c r="BO20" s="26">
        <v>987807.19289463654</v>
      </c>
    </row>
    <row r="21" spans="1:68" x14ac:dyDescent="0.35">
      <c r="A21" s="17" t="str">
        <v>Access session border controller - hardware</v>
      </c>
      <c r="B21" s="17"/>
      <c r="C21" s="17"/>
      <c r="D21" s="26">
        <v>899785.83912361343</v>
      </c>
      <c r="E21" s="26">
        <v>936677.05852768163</v>
      </c>
      <c r="F21" s="26">
        <v>967587.40145909507</v>
      </c>
      <c r="G21" s="26">
        <v>1011128.8345247544</v>
      </c>
      <c r="H21" s="26">
        <v>1080896.7241069621</v>
      </c>
      <c r="I21" s="26">
        <v>1145750.52755338</v>
      </c>
      <c r="J21" s="26">
        <v>1203038.0539310488</v>
      </c>
      <c r="K21" s="26">
        <v>1257174.766357946</v>
      </c>
      <c r="L21" s="26">
        <v>875831.75389603584</v>
      </c>
      <c r="M21" s="26">
        <v>915244.18282135739</v>
      </c>
      <c r="N21" s="26">
        <v>956430.1710483185</v>
      </c>
      <c r="O21" s="26">
        <v>999469.52874549269</v>
      </c>
      <c r="P21" s="26">
        <v>1044445.6575390399</v>
      </c>
      <c r="Q21" s="26">
        <v>1091445.7121282967</v>
      </c>
      <c r="R21" s="26">
        <v>1140560.7691740701</v>
      </c>
      <c r="S21" s="26">
        <v>1191886.0037869031</v>
      </c>
      <c r="T21" s="26">
        <v>1245520.8739573136</v>
      </c>
      <c r="U21" s="26">
        <v>1301569.3132853927</v>
      </c>
      <c r="V21" s="26">
        <v>1360139.9323832351</v>
      </c>
      <c r="W21" s="26">
        <v>1421346.2293404806</v>
      </c>
      <c r="X21" s="81"/>
      <c r="Y21" s="81"/>
      <c r="Z21" s="26">
        <v>599857.22608240892</v>
      </c>
      <c r="AA21" s="26">
        <v>624451.37235178775</v>
      </c>
      <c r="AB21" s="26">
        <v>645058.26763939671</v>
      </c>
      <c r="AC21" s="26">
        <v>674085.88968316966</v>
      </c>
      <c r="AD21" s="26">
        <v>720597.8160713081</v>
      </c>
      <c r="AE21" s="26">
        <v>763833.68503558671</v>
      </c>
      <c r="AF21" s="26">
        <v>802025.36928736593</v>
      </c>
      <c r="AG21" s="26">
        <v>838116.51090529736</v>
      </c>
      <c r="AH21" s="26">
        <v>875831.75389603584</v>
      </c>
      <c r="AI21" s="26">
        <v>915244.18282135739</v>
      </c>
      <c r="AJ21" s="26">
        <v>956430.1710483185</v>
      </c>
      <c r="AK21" s="26">
        <v>999469.52874549269</v>
      </c>
      <c r="AL21" s="26">
        <v>1044445.6575390399</v>
      </c>
      <c r="AM21" s="26">
        <v>1091445.7121282967</v>
      </c>
      <c r="AN21" s="26">
        <v>1140560.7691740701</v>
      </c>
      <c r="AO21" s="26">
        <v>1191886.0037869031</v>
      </c>
      <c r="AP21" s="26">
        <v>1245520.8739573136</v>
      </c>
      <c r="AQ21" s="26">
        <v>1301569.3132853927</v>
      </c>
      <c r="AR21" s="26">
        <v>1360139.9323832351</v>
      </c>
      <c r="AS21" s="26">
        <v>1421346.2293404806</v>
      </c>
      <c r="AV21" s="26">
        <v>299928.61304120446</v>
      </c>
      <c r="AW21" s="26">
        <v>312225.68617589388</v>
      </c>
      <c r="AX21" s="26">
        <v>322529.13381969836</v>
      </c>
      <c r="AY21" s="26">
        <v>337042.94484158483</v>
      </c>
      <c r="AZ21" s="26">
        <v>360298.90803565405</v>
      </c>
      <c r="BA21" s="26">
        <v>381916.84251779335</v>
      </c>
      <c r="BB21" s="26">
        <v>401012.68464368297</v>
      </c>
      <c r="BC21" s="26">
        <v>419058.25545264868</v>
      </c>
      <c r="BD21" s="26">
        <v>0</v>
      </c>
      <c r="BE21" s="26">
        <v>0</v>
      </c>
      <c r="BF21" s="26">
        <v>0</v>
      </c>
      <c r="BG21" s="26">
        <v>0</v>
      </c>
      <c r="BH21" s="26">
        <v>0</v>
      </c>
      <c r="BI21" s="26">
        <v>0</v>
      </c>
      <c r="BJ21" s="26">
        <v>0</v>
      </c>
      <c r="BK21" s="26">
        <v>0</v>
      </c>
      <c r="BL21" s="26">
        <v>0</v>
      </c>
      <c r="BM21" s="26">
        <v>0</v>
      </c>
      <c r="BN21" s="26">
        <v>0</v>
      </c>
      <c r="BO21" s="26">
        <v>0</v>
      </c>
    </row>
    <row r="22" spans="1:68" x14ac:dyDescent="0.35">
      <c r="A22" s="17" t="str">
        <v>Access session border controller - software</v>
      </c>
      <c r="B22" s="17"/>
      <c r="C22" s="17"/>
      <c r="D22" s="26">
        <v>2475324.3248524428</v>
      </c>
      <c r="E22" s="26">
        <v>2576812.6221713931</v>
      </c>
      <c r="F22" s="26">
        <v>2661847.438703049</v>
      </c>
      <c r="G22" s="26">
        <v>2781630.5734446868</v>
      </c>
      <c r="H22" s="26">
        <v>2973563.0830123695</v>
      </c>
      <c r="I22" s="26">
        <v>3151976.8679931113</v>
      </c>
      <c r="J22" s="26">
        <v>3309575.7113927668</v>
      </c>
      <c r="K22" s="26">
        <v>3458506.6184054408</v>
      </c>
      <c r="L22" s="26">
        <v>2891311.5329869487</v>
      </c>
      <c r="M22" s="26">
        <v>3021420.5519713615</v>
      </c>
      <c r="N22" s="26">
        <v>3157384.4768100725</v>
      </c>
      <c r="O22" s="26">
        <v>3299466.7782665258</v>
      </c>
      <c r="P22" s="26">
        <v>3447942.7832885198</v>
      </c>
      <c r="Q22" s="26">
        <v>3603100.2085365029</v>
      </c>
      <c r="R22" s="26">
        <v>3765239.7179206456</v>
      </c>
      <c r="S22" s="26">
        <v>3934675.5052270736</v>
      </c>
      <c r="T22" s="26">
        <v>4111735.9029622921</v>
      </c>
      <c r="U22" s="26">
        <v>4296764.0185955949</v>
      </c>
      <c r="V22" s="26">
        <v>4490118.3994323965</v>
      </c>
      <c r="W22" s="26">
        <v>4692173.7274068538</v>
      </c>
      <c r="X22" s="81"/>
      <c r="Y22" s="81"/>
      <c r="Z22" s="26">
        <v>1980259.4598819544</v>
      </c>
      <c r="AA22" s="26">
        <v>2061450.0977371144</v>
      </c>
      <c r="AB22" s="26">
        <v>2129477.9509624392</v>
      </c>
      <c r="AC22" s="26">
        <v>2225304.4587557493</v>
      </c>
      <c r="AD22" s="26">
        <v>2378850.4664098956</v>
      </c>
      <c r="AE22" s="26">
        <v>2521581.4943944891</v>
      </c>
      <c r="AF22" s="26">
        <v>2647660.5691142133</v>
      </c>
      <c r="AG22" s="26">
        <v>2766805.2947243527</v>
      </c>
      <c r="AH22" s="26">
        <v>2168483.6497402117</v>
      </c>
      <c r="AI22" s="26">
        <v>2266065.4139785212</v>
      </c>
      <c r="AJ22" s="26">
        <v>2368038.3576075546</v>
      </c>
      <c r="AK22" s="26">
        <v>2474600.0836998941</v>
      </c>
      <c r="AL22" s="26">
        <v>2585957.0874663899</v>
      </c>
      <c r="AM22" s="26">
        <v>2702325.1564023774</v>
      </c>
      <c r="AN22" s="26">
        <v>2823929.7884404841</v>
      </c>
      <c r="AO22" s="26">
        <v>2951006.6289203051</v>
      </c>
      <c r="AP22" s="26">
        <v>3083801.9272217192</v>
      </c>
      <c r="AQ22" s="26">
        <v>3222573.0139466962</v>
      </c>
      <c r="AR22" s="26">
        <v>3367588.7995742974</v>
      </c>
      <c r="AS22" s="26">
        <v>3519130.2955551404</v>
      </c>
      <c r="AV22" s="26">
        <v>495064.86497048859</v>
      </c>
      <c r="AW22" s="26">
        <v>515362.5244342786</v>
      </c>
      <c r="AX22" s="26">
        <v>532369.48774060979</v>
      </c>
      <c r="AY22" s="26">
        <v>556326.11468893732</v>
      </c>
      <c r="AZ22" s="26">
        <v>594712.61660247389</v>
      </c>
      <c r="BA22" s="26">
        <v>630395.37359862227</v>
      </c>
      <c r="BB22" s="26">
        <v>661915.14227855334</v>
      </c>
      <c r="BC22" s="26">
        <v>691701.32368108816</v>
      </c>
      <c r="BD22" s="26">
        <v>722827.88324673718</v>
      </c>
      <c r="BE22" s="26">
        <v>755355.13799284038</v>
      </c>
      <c r="BF22" s="26">
        <v>789346.11920251814</v>
      </c>
      <c r="BG22" s="26">
        <v>824866.69456663146</v>
      </c>
      <c r="BH22" s="26">
        <v>861985.69582212996</v>
      </c>
      <c r="BI22" s="26">
        <v>900775.05213412573</v>
      </c>
      <c r="BJ22" s="26">
        <v>941309.9294801614</v>
      </c>
      <c r="BK22" s="26">
        <v>983668.87630676839</v>
      </c>
      <c r="BL22" s="26">
        <v>1027933.975740573</v>
      </c>
      <c r="BM22" s="26">
        <v>1074191.0046488987</v>
      </c>
      <c r="BN22" s="26">
        <v>1122529.5998580991</v>
      </c>
      <c r="BO22" s="26">
        <v>1173043.4318517135</v>
      </c>
    </row>
    <row r="23" spans="1:68" x14ac:dyDescent="0.35">
      <c r="A23" s="17" t="str">
        <v>Internet exchange point session border controller - hardware</v>
      </c>
      <c r="B23" s="17"/>
      <c r="C23" s="17"/>
      <c r="D23" s="26">
        <v>599857.22608240892</v>
      </c>
      <c r="E23" s="26">
        <v>624451.37235178775</v>
      </c>
      <c r="F23" s="26">
        <v>645058.26763939671</v>
      </c>
      <c r="G23" s="26">
        <v>674085.88968316966</v>
      </c>
      <c r="H23" s="26">
        <v>720597.8160713081</v>
      </c>
      <c r="I23" s="26">
        <v>763833.68503558671</v>
      </c>
      <c r="J23" s="26">
        <v>802025.36928736593</v>
      </c>
      <c r="K23" s="26">
        <v>838116.51090529736</v>
      </c>
      <c r="L23" s="26">
        <v>875831.75389603584</v>
      </c>
      <c r="M23" s="26">
        <v>915244.18282135739</v>
      </c>
      <c r="N23" s="26">
        <v>956430.1710483185</v>
      </c>
      <c r="O23" s="26">
        <v>999469.52874549269</v>
      </c>
      <c r="P23" s="26">
        <v>1044445.6575390399</v>
      </c>
      <c r="Q23" s="26">
        <v>1091445.7121282967</v>
      </c>
      <c r="R23" s="26">
        <v>1140560.7691740701</v>
      </c>
      <c r="S23" s="26">
        <v>1191886.0037869031</v>
      </c>
      <c r="T23" s="26">
        <v>1245520.8739573136</v>
      </c>
      <c r="U23" s="26">
        <v>1301569.3132853927</v>
      </c>
      <c r="V23" s="26">
        <v>1360139.9323832351</v>
      </c>
      <c r="W23" s="26">
        <v>1421346.2293404806</v>
      </c>
      <c r="X23" s="81"/>
      <c r="Y23" s="81"/>
      <c r="Z23" s="179">
        <v>599857.22608240892</v>
      </c>
      <c r="AA23" s="179">
        <v>624451.37235178775</v>
      </c>
      <c r="AB23" s="179">
        <v>645058.26763939671</v>
      </c>
      <c r="AC23" s="179">
        <v>674085.88968316966</v>
      </c>
      <c r="AD23" s="179">
        <v>720597.8160713081</v>
      </c>
      <c r="AE23" s="179">
        <v>763833.68503558671</v>
      </c>
      <c r="AF23" s="179">
        <v>802025.36928736593</v>
      </c>
      <c r="AG23" s="179">
        <v>838116.51090529736</v>
      </c>
      <c r="AH23" s="179">
        <v>437915.87694801792</v>
      </c>
      <c r="AI23" s="179">
        <v>457622.09141067869</v>
      </c>
      <c r="AJ23" s="179">
        <v>478215.08552415925</v>
      </c>
      <c r="AK23" s="179">
        <v>499734.76437274634</v>
      </c>
      <c r="AL23" s="179">
        <v>522222.82876951993</v>
      </c>
      <c r="AM23" s="179">
        <v>545722.85606414836</v>
      </c>
      <c r="AN23" s="179">
        <v>570280.38458703505</v>
      </c>
      <c r="AO23" s="179">
        <v>595943.00189345155</v>
      </c>
      <c r="AP23" s="179">
        <v>622760.4369786568</v>
      </c>
      <c r="AQ23" s="179">
        <v>650784.65664269635</v>
      </c>
      <c r="AR23" s="179">
        <v>680069.96619161754</v>
      </c>
      <c r="AS23" s="179">
        <v>710673.11467024032</v>
      </c>
      <c r="AV23" s="26">
        <v>0</v>
      </c>
      <c r="AW23" s="26">
        <v>0</v>
      </c>
      <c r="AX23" s="26">
        <v>0</v>
      </c>
      <c r="AY23" s="26">
        <v>0</v>
      </c>
      <c r="AZ23" s="26">
        <v>0</v>
      </c>
      <c r="BA23" s="26">
        <v>0</v>
      </c>
      <c r="BB23" s="26">
        <v>0</v>
      </c>
      <c r="BC23" s="26">
        <v>0</v>
      </c>
      <c r="BD23" s="26">
        <v>437915.87694801792</v>
      </c>
      <c r="BE23" s="26">
        <v>457622.09141067869</v>
      </c>
      <c r="BF23" s="26">
        <v>478215.08552415925</v>
      </c>
      <c r="BG23" s="26">
        <v>499734.76437274634</v>
      </c>
      <c r="BH23" s="26">
        <v>522222.82876951993</v>
      </c>
      <c r="BI23" s="26">
        <v>545722.85606414836</v>
      </c>
      <c r="BJ23" s="26">
        <v>570280.38458703505</v>
      </c>
      <c r="BK23" s="26">
        <v>595943.00189345155</v>
      </c>
      <c r="BL23" s="26">
        <v>622760.4369786568</v>
      </c>
      <c r="BM23" s="26">
        <v>650784.65664269635</v>
      </c>
      <c r="BN23" s="26">
        <v>680069.96619161754</v>
      </c>
      <c r="BO23" s="26">
        <v>710673.11467024032</v>
      </c>
    </row>
    <row r="24" spans="1:68" x14ac:dyDescent="0.35">
      <c r="A24" s="17" t="str">
        <v>Internet exchange point session border controller - software</v>
      </c>
      <c r="B24" s="17"/>
      <c r="C24" s="17"/>
      <c r="D24" s="26">
        <v>1980259.4598819544</v>
      </c>
      <c r="E24" s="26">
        <v>2061450.0977371144</v>
      </c>
      <c r="F24" s="26">
        <v>2129477.9509624392</v>
      </c>
      <c r="G24" s="26">
        <v>2225304.4587557493</v>
      </c>
      <c r="H24" s="26">
        <v>2378850.4664098956</v>
      </c>
      <c r="I24" s="26">
        <v>2521581.4943944891</v>
      </c>
      <c r="J24" s="26">
        <v>2647660.5691142133</v>
      </c>
      <c r="K24" s="26">
        <v>2766805.2947243527</v>
      </c>
      <c r="L24" s="26">
        <v>2168483.6497402117</v>
      </c>
      <c r="M24" s="26">
        <v>2266065.4139785212</v>
      </c>
      <c r="N24" s="26">
        <v>2368038.3576075546</v>
      </c>
      <c r="O24" s="26">
        <v>2474600.0836998941</v>
      </c>
      <c r="P24" s="26">
        <v>2585957.0874663899</v>
      </c>
      <c r="Q24" s="26">
        <v>2702325.1564023774</v>
      </c>
      <c r="R24" s="26">
        <v>2823929.7884404841</v>
      </c>
      <c r="S24" s="26">
        <v>2951006.6289203051</v>
      </c>
      <c r="T24" s="26">
        <v>3083801.9272217192</v>
      </c>
      <c r="U24" s="26">
        <v>3222573.0139466962</v>
      </c>
      <c r="V24" s="26">
        <v>3367588.7995742974</v>
      </c>
      <c r="W24" s="26">
        <v>3519130.2955551404</v>
      </c>
      <c r="X24" s="81"/>
      <c r="Y24" s="81"/>
      <c r="Z24" s="26">
        <v>1485194.5949114659</v>
      </c>
      <c r="AA24" s="26">
        <v>1546087.5733028357</v>
      </c>
      <c r="AB24" s="26">
        <v>1597108.4632218294</v>
      </c>
      <c r="AC24" s="26">
        <v>1668978.344066812</v>
      </c>
      <c r="AD24" s="26">
        <v>1784137.8498074217</v>
      </c>
      <c r="AE24" s="26">
        <v>1891186.1207958669</v>
      </c>
      <c r="AF24" s="26">
        <v>1985745.4268356599</v>
      </c>
      <c r="AG24" s="26">
        <v>2075103.9710432645</v>
      </c>
      <c r="AH24" s="26">
        <v>1445655.7664934744</v>
      </c>
      <c r="AI24" s="26">
        <v>1510710.2759856808</v>
      </c>
      <c r="AJ24" s="26">
        <v>1578692.2384050363</v>
      </c>
      <c r="AK24" s="26">
        <v>1649733.3891332629</v>
      </c>
      <c r="AL24" s="26">
        <v>1723971.3916442599</v>
      </c>
      <c r="AM24" s="26">
        <v>1801550.1042682515</v>
      </c>
      <c r="AN24" s="26">
        <v>1882619.8589603228</v>
      </c>
      <c r="AO24" s="26">
        <v>1967337.7526135368</v>
      </c>
      <c r="AP24" s="26">
        <v>2055867.951481146</v>
      </c>
      <c r="AQ24" s="26">
        <v>2148382.0092977975</v>
      </c>
      <c r="AR24" s="26">
        <v>2245059.1997161983</v>
      </c>
      <c r="AS24" s="26">
        <v>2346086.8637034269</v>
      </c>
      <c r="AV24" s="26">
        <v>495064.86497048859</v>
      </c>
      <c r="AW24" s="26">
        <v>515362.5244342786</v>
      </c>
      <c r="AX24" s="26">
        <v>532369.48774060979</v>
      </c>
      <c r="AY24" s="26">
        <v>556326.11468893732</v>
      </c>
      <c r="AZ24" s="26">
        <v>594712.61660247389</v>
      </c>
      <c r="BA24" s="26">
        <v>630395.37359862227</v>
      </c>
      <c r="BB24" s="26">
        <v>661915.14227855334</v>
      </c>
      <c r="BC24" s="26">
        <v>691701.32368108816</v>
      </c>
      <c r="BD24" s="26">
        <v>722827.88324673718</v>
      </c>
      <c r="BE24" s="26">
        <v>755355.13799284038</v>
      </c>
      <c r="BF24" s="26">
        <v>789346.11920251814</v>
      </c>
      <c r="BG24" s="26">
        <v>824866.69456663146</v>
      </c>
      <c r="BH24" s="26">
        <v>861985.69582212996</v>
      </c>
      <c r="BI24" s="26">
        <v>900775.05213412573</v>
      </c>
      <c r="BJ24" s="26">
        <v>941309.9294801614</v>
      </c>
      <c r="BK24" s="26">
        <v>983668.87630676839</v>
      </c>
      <c r="BL24" s="26">
        <v>1027933.975740573</v>
      </c>
      <c r="BM24" s="26">
        <v>1074191.0046488987</v>
      </c>
      <c r="BN24" s="26">
        <v>1122529.5998580991</v>
      </c>
      <c r="BO24" s="26">
        <v>1173043.4318517135</v>
      </c>
    </row>
    <row r="25" spans="1:68" x14ac:dyDescent="0.35">
      <c r="C25" s="12" t="s">
        <v>345</v>
      </c>
    </row>
    <row r="26" spans="1:68" x14ac:dyDescent="0.35">
      <c r="A26" s="17" t="s">
        <v>169</v>
      </c>
      <c r="B26" s="17"/>
      <c r="C26" s="17"/>
      <c r="D26" s="16">
        <f>SUM(D9:D24)</f>
        <v>16879074.282684069</v>
      </c>
      <c r="E26" s="16">
        <f t="shared" ref="E26:W26" si="0">SUM(E9:E24)</f>
        <v>17571116.32827412</v>
      </c>
      <c r="F26" s="16">
        <f t="shared" si="0"/>
        <v>18150963.167107165</v>
      </c>
      <c r="G26" s="16">
        <f t="shared" si="0"/>
        <v>18967756.509626988</v>
      </c>
      <c r="H26" s="16">
        <f t="shared" si="0"/>
        <v>20276531.708791249</v>
      </c>
      <c r="I26" s="16">
        <f t="shared" si="0"/>
        <v>21493123.611318722</v>
      </c>
      <c r="J26" s="16">
        <f t="shared" si="0"/>
        <v>22567779.791884653</v>
      </c>
      <c r="K26" s="16">
        <f t="shared" si="0"/>
        <v>23583329.882519461</v>
      </c>
      <c r="L26" s="16">
        <f t="shared" si="0"/>
        <v>19791959.877327241</v>
      </c>
      <c r="M26" s="16">
        <f t="shared" si="0"/>
        <v>20682598.071806967</v>
      </c>
      <c r="N26" s="16">
        <f t="shared" si="0"/>
        <v>21613314.98503828</v>
      </c>
      <c r="O26" s="16">
        <f t="shared" si="0"/>
        <v>22585914.159364998</v>
      </c>
      <c r="P26" s="16">
        <f t="shared" si="0"/>
        <v>23602280.296536423</v>
      </c>
      <c r="Q26" s="16">
        <f t="shared" si="0"/>
        <v>24664382.909880571</v>
      </c>
      <c r="R26" s="16">
        <f t="shared" si="0"/>
        <v>25774280.14082519</v>
      </c>
      <c r="S26" s="16">
        <f t="shared" si="0"/>
        <v>26934122.74716232</v>
      </c>
      <c r="T26" s="16">
        <f t="shared" si="0"/>
        <v>28146158.270784628</v>
      </c>
      <c r="U26" s="16">
        <f t="shared" si="0"/>
        <v>29412735.392969929</v>
      </c>
      <c r="V26" s="16">
        <f t="shared" si="0"/>
        <v>30736308.485653572</v>
      </c>
      <c r="W26" s="16">
        <f t="shared" si="0"/>
        <v>32119442.367507976</v>
      </c>
      <c r="X26" s="15" t="s">
        <v>388</v>
      </c>
      <c r="Z26" s="16">
        <f t="shared" ref="Z26:AS26" si="1">SUM(Z9:Z24)</f>
        <v>13535066.151653642</v>
      </c>
      <c r="AA26" s="16">
        <f>SUM(AA9:AA24)</f>
        <v>14090003.863871446</v>
      </c>
      <c r="AB26" s="16">
        <f t="shared" si="1"/>
        <v>14554973.991379201</v>
      </c>
      <c r="AC26" s="16">
        <f t="shared" si="1"/>
        <v>15209947.82099127</v>
      </c>
      <c r="AD26" s="16">
        <f t="shared" si="1"/>
        <v>16259434.220639661</v>
      </c>
      <c r="AE26" s="16">
        <f t="shared" si="1"/>
        <v>17235000.273878042</v>
      </c>
      <c r="AF26" s="16">
        <f t="shared" si="1"/>
        <v>18096750.287571944</v>
      </c>
      <c r="AG26" s="16">
        <f t="shared" si="1"/>
        <v>18911104.050512679</v>
      </c>
      <c r="AH26" s="16">
        <f t="shared" si="1"/>
        <v>15528812.79811273</v>
      </c>
      <c r="AI26" s="16">
        <f t="shared" si="1"/>
        <v>16227609.374027802</v>
      </c>
      <c r="AJ26" s="16">
        <f t="shared" si="1"/>
        <v>16957851.795859054</v>
      </c>
      <c r="AK26" s="16">
        <f t="shared" si="1"/>
        <v>17720955.126672707</v>
      </c>
      <c r="AL26" s="16">
        <f t="shared" si="1"/>
        <v>18518398.107372984</v>
      </c>
      <c r="AM26" s="16">
        <f t="shared" si="1"/>
        <v>19351726.022204768</v>
      </c>
      <c r="AN26" s="16">
        <f t="shared" si="1"/>
        <v>20222553.693203982</v>
      </c>
      <c r="AO26" s="16">
        <f t="shared" si="1"/>
        <v>21132568.609398156</v>
      </c>
      <c r="AP26" s="16">
        <f t="shared" si="1"/>
        <v>22083534.196821071</v>
      </c>
      <c r="AQ26" s="16">
        <f t="shared" si="1"/>
        <v>23077293.235678017</v>
      </c>
      <c r="AR26" s="16">
        <f t="shared" si="1"/>
        <v>24115771.431283526</v>
      </c>
      <c r="AS26" s="16">
        <f t="shared" si="1"/>
        <v>25200981.145691283</v>
      </c>
      <c r="AT26" s="15" t="s">
        <v>389</v>
      </c>
      <c r="AV26" s="16">
        <f>SUM(AV9:AV24)</f>
        <v>3344008.1310304264</v>
      </c>
      <c r="AW26" s="16">
        <f t="shared" ref="AW26:BO26" si="2">SUM(AW9:AW24)</f>
        <v>3481112.4644026747</v>
      </c>
      <c r="AX26" s="16">
        <f t="shared" si="2"/>
        <v>3595989.1757279625</v>
      </c>
      <c r="AY26" s="16">
        <f t="shared" si="2"/>
        <v>3757808.6886357209</v>
      </c>
      <c r="AZ26" s="16">
        <f t="shared" si="2"/>
        <v>4017097.4881515852</v>
      </c>
      <c r="BA26" s="16">
        <f t="shared" si="2"/>
        <v>4258123.3374406798</v>
      </c>
      <c r="BB26" s="16">
        <f t="shared" si="2"/>
        <v>4471029.5043127146</v>
      </c>
      <c r="BC26" s="16">
        <f t="shared" si="2"/>
        <v>4672225.832006786</v>
      </c>
      <c r="BD26" s="16">
        <f t="shared" si="2"/>
        <v>4263147.0792145114</v>
      </c>
      <c r="BE26" s="16">
        <f t="shared" si="2"/>
        <v>4454988.6977791646</v>
      </c>
      <c r="BF26" s="16">
        <f t="shared" si="2"/>
        <v>4655463.1891792268</v>
      </c>
      <c r="BG26" s="16">
        <f t="shared" si="2"/>
        <v>4864959.0326922918</v>
      </c>
      <c r="BH26" s="16">
        <f t="shared" si="2"/>
        <v>5083882.1891634455</v>
      </c>
      <c r="BI26" s="16">
        <f t="shared" si="2"/>
        <v>5312656.8876757994</v>
      </c>
      <c r="BJ26" s="16">
        <f t="shared" si="2"/>
        <v>5551726.4476212114</v>
      </c>
      <c r="BK26" s="16">
        <f t="shared" si="2"/>
        <v>5801554.1377641642</v>
      </c>
      <c r="BL26" s="16">
        <f t="shared" si="2"/>
        <v>6062624.0739635518</v>
      </c>
      <c r="BM26" s="16">
        <f t="shared" si="2"/>
        <v>6335442.1572919106</v>
      </c>
      <c r="BN26" s="16">
        <f t="shared" si="2"/>
        <v>6620537.0543700457</v>
      </c>
      <c r="BO26" s="16">
        <f t="shared" si="2"/>
        <v>6918461.2218166981</v>
      </c>
      <c r="BP26" s="15" t="s">
        <v>390</v>
      </c>
    </row>
    <row r="27" spans="1:68" x14ac:dyDescent="0.35">
      <c r="A27" s="17" t="s">
        <v>399</v>
      </c>
      <c r="B27" s="17"/>
      <c r="C27" s="16">
        <f>SUM(_xlfn.ANCHORARRAY(D27))</f>
        <v>95705901.915654629</v>
      </c>
      <c r="D27" s="16" cm="1">
        <f t="array" ref="D27:W27">core_costs_opex/wacc_index</f>
        <v>13998102.860855646</v>
      </c>
      <c r="E27" s="16">
        <v>12151946.037389023</v>
      </c>
      <c r="F27" s="16">
        <v>10419394.877213154</v>
      </c>
      <c r="G27" s="16">
        <v>9265873.1569201984</v>
      </c>
      <c r="H27" s="16">
        <v>8287316.4455943555</v>
      </c>
      <c r="I27" s="16">
        <v>7248913.4264076957</v>
      </c>
      <c r="J27" s="16">
        <v>6280805.3955323566</v>
      </c>
      <c r="K27" s="16">
        <v>5416076.0418724595</v>
      </c>
      <c r="L27" s="16">
        <v>3750779.6798895425</v>
      </c>
      <c r="M27" s="16">
        <v>3234379.4598447299</v>
      </c>
      <c r="N27" s="16">
        <v>2789076.2409626683</v>
      </c>
      <c r="O27" s="16">
        <v>2405081.5232038004</v>
      </c>
      <c r="P27" s="16">
        <v>2073954.4686163843</v>
      </c>
      <c r="Q27" s="16">
        <v>1788416.3577807299</v>
      </c>
      <c r="R27" s="16">
        <v>1542190.5915376667</v>
      </c>
      <c r="S27" s="16">
        <v>1329864.7209750577</v>
      </c>
      <c r="T27" s="16">
        <v>1146771.4728636206</v>
      </c>
      <c r="U27" s="16">
        <v>988886.15528470906</v>
      </c>
      <c r="V27" s="16">
        <v>852738.18825633614</v>
      </c>
      <c r="W27" s="16">
        <v>735334.81465451594</v>
      </c>
      <c r="X27" s="15" t="s">
        <v>401</v>
      </c>
      <c r="Y27" s="16">
        <f>SUM(_xlfn.ANCHORARRAY(Z27))</f>
        <v>76353840.693615764</v>
      </c>
      <c r="Z27" s="16" cm="1">
        <f t="array" ref="Z27:AS27">core_costs_opex_noincoming/wacc_index</f>
        <v>11224860.146133853</v>
      </c>
      <c r="AA27" s="16">
        <v>9744455.8115441278</v>
      </c>
      <c r="AB27" s="16">
        <v>8355150.0847388487</v>
      </c>
      <c r="AC27" s="16">
        <v>7430159.0259844288</v>
      </c>
      <c r="AD27" s="16">
        <v>6645469.6763719572</v>
      </c>
      <c r="AE27" s="16">
        <v>5812790.5068047661</v>
      </c>
      <c r="AF27" s="16">
        <v>5036479.7909210529</v>
      </c>
      <c r="AG27" s="16">
        <v>4343066.8223514147</v>
      </c>
      <c r="AH27" s="16">
        <v>2942869.5216128076</v>
      </c>
      <c r="AI27" s="16">
        <v>2537700.8371731015</v>
      </c>
      <c r="AJ27" s="16">
        <v>2188315.0074080522</v>
      </c>
      <c r="AK27" s="16">
        <v>1887031.9548705155</v>
      </c>
      <c r="AL27" s="16">
        <v>1627228.9805845339</v>
      </c>
      <c r="AM27" s="16">
        <v>1403195.1861863793</v>
      </c>
      <c r="AN27" s="16">
        <v>1210005.9389486404</v>
      </c>
      <c r="AO27" s="16">
        <v>1043414.6202212736</v>
      </c>
      <c r="AP27" s="16">
        <v>899759.27774162462</v>
      </c>
      <c r="AQ27" s="16">
        <v>775882.12987704517</v>
      </c>
      <c r="AR27" s="16">
        <v>669060.15237045288</v>
      </c>
      <c r="AS27" s="16">
        <v>576945.22177087888</v>
      </c>
      <c r="AU27" s="16">
        <f>SUM(_xlfn.ANCHORARRAY(AV27))</f>
        <v>19352061.222038899</v>
      </c>
      <c r="AV27" s="16" cm="1">
        <f t="array" ref="AV27:BO27">core_costs_opex_incoming_only/wacc_index</f>
        <v>2773242.7147217924</v>
      </c>
      <c r="AW27" s="16">
        <v>2407490.2258448973</v>
      </c>
      <c r="AX27" s="16">
        <v>2064244.792474305</v>
      </c>
      <c r="AY27" s="16">
        <v>1835714.1309357707</v>
      </c>
      <c r="AZ27" s="16">
        <v>1641846.7692223974</v>
      </c>
      <c r="BA27" s="16">
        <v>1436122.9196029289</v>
      </c>
      <c r="BB27" s="16">
        <v>1244325.6046113046</v>
      </c>
      <c r="BC27" s="16">
        <v>1073009.2195210462</v>
      </c>
      <c r="BD27" s="16">
        <v>807910.15827673522</v>
      </c>
      <c r="BE27" s="16">
        <v>696678.62267162825</v>
      </c>
      <c r="BF27" s="16">
        <v>600761.23355461645</v>
      </c>
      <c r="BG27" s="16">
        <v>518049.56833328487</v>
      </c>
      <c r="BH27" s="16">
        <v>446725.48803185101</v>
      </c>
      <c r="BI27" s="16">
        <v>385221.17159435013</v>
      </c>
      <c r="BJ27" s="16">
        <v>332184.65258902666</v>
      </c>
      <c r="BK27" s="16">
        <v>286450.10075378395</v>
      </c>
      <c r="BL27" s="16">
        <v>247012.1951219957</v>
      </c>
      <c r="BM27" s="16">
        <v>213004.02540766384</v>
      </c>
      <c r="BN27" s="16">
        <v>183678.0358858832</v>
      </c>
      <c r="BO27" s="16">
        <v>158389.59288363723</v>
      </c>
    </row>
    <row r="28" spans="1:68" x14ac:dyDescent="0.35">
      <c r="C28" s="15" t="s">
        <v>403</v>
      </c>
      <c r="D28" s="23"/>
      <c r="E28" s="23"/>
      <c r="F28" s="23"/>
      <c r="G28" s="23"/>
      <c r="H28" s="23"/>
      <c r="I28" s="23"/>
      <c r="J28" s="23"/>
      <c r="K28" s="23"/>
      <c r="L28" s="23"/>
      <c r="M28" s="23"/>
      <c r="N28" s="23"/>
      <c r="O28" s="23"/>
      <c r="P28" s="23"/>
      <c r="Q28" s="23"/>
      <c r="R28" s="23"/>
      <c r="S28" s="23"/>
      <c r="T28" s="23"/>
      <c r="U28" s="23"/>
      <c r="V28" s="23"/>
      <c r="W28" s="23"/>
      <c r="Z28" s="23"/>
      <c r="AA28" s="23"/>
      <c r="AB28" s="23"/>
      <c r="AC28" s="23"/>
      <c r="AD28" s="23"/>
      <c r="AE28" s="23"/>
      <c r="AF28" s="23"/>
      <c r="AG28" s="23"/>
      <c r="AH28" s="23"/>
      <c r="AI28" s="23"/>
      <c r="AJ28" s="23"/>
      <c r="AK28" s="23"/>
      <c r="AL28" s="23"/>
      <c r="AM28" s="23"/>
      <c r="AN28" s="23"/>
      <c r="AO28" s="23"/>
      <c r="AP28" s="23"/>
      <c r="AQ28" s="23"/>
      <c r="AR28" s="23"/>
      <c r="AS28" s="23"/>
      <c r="AU28" s="15" t="s">
        <v>414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F8F06-2CBE-4DAB-92A0-4616325DCAD2}">
  <dimension ref="A1:Y41"/>
  <sheetViews>
    <sheetView zoomScale="90" zoomScaleNormal="90" workbookViewId="0">
      <pane xSplit="1" topLeftCell="B1" activePane="topRight" state="frozen"/>
      <selection activeCell="A20" sqref="A20"/>
      <selection pane="topRight" activeCell="E31" sqref="E31"/>
    </sheetView>
  </sheetViews>
  <sheetFormatPr defaultColWidth="15.6328125" defaultRowHeight="14.5" x14ac:dyDescent="0.35"/>
  <cols>
    <col min="1" max="1" width="45.6328125" style="12" customWidth="1"/>
    <col min="2" max="2" width="25.6328125" style="12" customWidth="1"/>
    <col min="3" max="3" width="35.6328125" style="12" customWidth="1"/>
    <col min="4" max="4" width="33.6328125" style="12" customWidth="1"/>
    <col min="5" max="12" width="17.36328125" style="12" bestFit="1" customWidth="1"/>
    <col min="13" max="13" width="20.36328125" style="12" customWidth="1"/>
    <col min="14" max="15" width="17.36328125" style="12" bestFit="1" customWidth="1"/>
    <col min="16" max="24" width="18.36328125" style="12" bestFit="1" customWidth="1"/>
    <col min="25" max="16384" width="15.6328125" style="12"/>
  </cols>
  <sheetData>
    <row r="1" spans="1:25" ht="18.5" x14ac:dyDescent="0.45">
      <c r="A1" s="50" t="s">
        <v>396</v>
      </c>
      <c r="B1" s="50"/>
      <c r="C1" s="50"/>
      <c r="D1" s="50"/>
    </row>
    <row r="3" spans="1:25" s="49" customFormat="1" x14ac:dyDescent="0.35">
      <c r="A3" s="48" t="s">
        <v>327</v>
      </c>
    </row>
    <row r="5" spans="1:25" x14ac:dyDescent="0.35">
      <c r="D5" s="52" t="s">
        <v>345</v>
      </c>
      <c r="E5" s="52" cm="1">
        <f t="array" ref="E5:X5">years</f>
        <v>2018</v>
      </c>
      <c r="F5" s="52">
        <v>2019</v>
      </c>
      <c r="G5" s="52">
        <v>2020</v>
      </c>
      <c r="H5" s="52">
        <v>2021</v>
      </c>
      <c r="I5" s="52">
        <v>2022</v>
      </c>
      <c r="J5" s="52">
        <v>2023</v>
      </c>
      <c r="K5" s="52">
        <v>2024</v>
      </c>
      <c r="L5" s="52">
        <v>2025</v>
      </c>
      <c r="M5" s="52">
        <v>2026</v>
      </c>
      <c r="N5" s="52">
        <v>2027</v>
      </c>
      <c r="O5" s="52">
        <v>2028</v>
      </c>
      <c r="P5" s="52">
        <v>2029</v>
      </c>
      <c r="Q5" s="52">
        <v>2030</v>
      </c>
      <c r="R5" s="52">
        <v>2031</v>
      </c>
      <c r="S5" s="52">
        <v>2032</v>
      </c>
      <c r="T5" s="52">
        <v>2033</v>
      </c>
      <c r="U5" s="52">
        <v>2034</v>
      </c>
      <c r="V5" s="52">
        <v>2035</v>
      </c>
      <c r="W5" s="52">
        <v>2036</v>
      </c>
      <c r="X5" s="52">
        <v>2037</v>
      </c>
    </row>
    <row r="6" spans="1:25" x14ac:dyDescent="0.35">
      <c r="A6" s="17"/>
      <c r="B6" s="17"/>
      <c r="C6" s="17" t="s">
        <v>404</v>
      </c>
      <c r="D6" s="26">
        <f>core_costs_incoming_only_discounted_pv</f>
        <v>43463868.930885203</v>
      </c>
      <c r="E6" s="218"/>
      <c r="F6" s="218"/>
      <c r="G6" s="218"/>
      <c r="H6" s="218"/>
      <c r="I6" s="218"/>
      <c r="J6" s="218"/>
      <c r="K6" s="218"/>
      <c r="L6" s="218"/>
      <c r="M6" s="218"/>
      <c r="N6" s="218"/>
      <c r="O6" s="218"/>
      <c r="P6" s="218"/>
      <c r="Q6" s="218"/>
      <c r="R6" s="218"/>
      <c r="S6" s="218"/>
      <c r="T6" s="218"/>
      <c r="U6" s="218"/>
      <c r="V6" s="218"/>
      <c r="W6" s="218"/>
      <c r="X6" s="218"/>
    </row>
    <row r="7" spans="1:25" x14ac:dyDescent="0.35">
      <c r="A7" s="17"/>
      <c r="B7" s="17"/>
      <c r="C7" s="17" t="s">
        <v>420</v>
      </c>
      <c r="D7" s="221">
        <f>D6/D14</f>
        <v>3.6262934353329139E-3</v>
      </c>
      <c r="E7" s="222" cm="1">
        <f t="array" ref="E7:X7">$D$7*capex_price_index</f>
        <v>3.6262934353329139E-3</v>
      </c>
      <c r="F7" s="219">
        <v>3.6936810525380575E-3</v>
      </c>
      <c r="G7" s="219">
        <v>3.7623209376673413E-3</v>
      </c>
      <c r="H7" s="219">
        <v>3.8322363616868399E-3</v>
      </c>
      <c r="I7" s="219">
        <v>3.9034510280083136E-3</v>
      </c>
      <c r="J7" s="219">
        <v>3.9759890805253738E-3</v>
      </c>
      <c r="K7" s="219">
        <v>4.0498751117989777E-3</v>
      </c>
      <c r="L7" s="219">
        <v>4.1251341713950448E-3</v>
      </c>
      <c r="M7" s="219">
        <v>4.2017917743770016E-3</v>
      </c>
      <c r="N7" s="219">
        <v>4.2798739099561495E-3</v>
      </c>
      <c r="O7" s="219">
        <v>4.3594070503027828E-3</v>
      </c>
      <c r="P7" s="219">
        <v>4.4404181595210411E-3</v>
      </c>
      <c r="Q7" s="219">
        <v>4.5229347027905473E-3</v>
      </c>
      <c r="R7" s="219">
        <v>4.6069846556779171E-3</v>
      </c>
      <c r="S7" s="219">
        <v>4.6925965136213141E-3</v>
      </c>
      <c r="T7" s="219">
        <v>4.7797993015912489E-3</v>
      </c>
      <c r="U7" s="219">
        <v>4.8686225839309136E-3</v>
      </c>
      <c r="V7" s="219">
        <v>4.9590964743793662E-3</v>
      </c>
      <c r="W7" s="219">
        <v>5.0512516462809945E-3</v>
      </c>
      <c r="X7" s="219">
        <v>5.1451193429846911E-3</v>
      </c>
      <c r="Y7" s="15" t="s">
        <v>417</v>
      </c>
    </row>
    <row r="8" spans="1:25" x14ac:dyDescent="0.35">
      <c r="A8" s="17"/>
      <c r="B8" s="17"/>
      <c r="C8" s="17" t="s">
        <v>409</v>
      </c>
      <c r="D8" s="17"/>
      <c r="E8" s="26">
        <f>E7*E12</f>
        <v>9348238.1652651783</v>
      </c>
      <c r="F8" s="26">
        <f>F7*F12</f>
        <v>8613763.9439071696</v>
      </c>
      <c r="G8" s="26">
        <f>G7*G12</f>
        <v>9074885.5249353535</v>
      </c>
      <c r="H8" s="26">
        <f>H7*H12</f>
        <v>8357131.4342376767</v>
      </c>
      <c r="I8" s="26">
        <f>I7*I12</f>
        <v>8512432.4831092991</v>
      </c>
      <c r="J8" s="26">
        <f>J7*J12</f>
        <v>8670619.5002070311</v>
      </c>
      <c r="K8" s="26">
        <f>K7*K12</f>
        <v>8831746.115642596</v>
      </c>
      <c r="L8" s="26">
        <f>L7*L12</f>
        <v>8995866.956139138</v>
      </c>
      <c r="M8" s="26">
        <f>M7*M12</f>
        <v>9163037.6635513064</v>
      </c>
      <c r="N8" s="26">
        <f>N7*N12</f>
        <v>9333314.9137294963</v>
      </c>
      <c r="O8" s="26">
        <f>O7*O12</f>
        <v>9506756.4357346576</v>
      </c>
      <c r="P8" s="26">
        <f>P7*P12</f>
        <v>9683421.0314101614</v>
      </c>
      <c r="Q8" s="26">
        <f>Q7*Q12</f>
        <v>9863368.5953173824</v>
      </c>
      <c r="R8" s="26">
        <f>R7*R12</f>
        <v>10046660.135041736</v>
      </c>
      <c r="S8" s="26">
        <f>S7*S12</f>
        <v>10233357.791876066</v>
      </c>
      <c r="T8" s="26">
        <f>T7*T12</f>
        <v>10423524.861888399</v>
      </c>
      <c r="U8" s="26">
        <f>U7*U12</f>
        <v>10617225.817381196</v>
      </c>
      <c r="V8" s="26">
        <f>V7*V12</f>
        <v>10814526.328749374</v>
      </c>
      <c r="W8" s="26">
        <f>W7*W12</f>
        <v>11015493.286744541</v>
      </c>
      <c r="X8" s="26">
        <f>X7*X12</f>
        <v>11220194.825152952</v>
      </c>
    </row>
    <row r="9" spans="1:25" x14ac:dyDescent="0.35">
      <c r="A9" s="17"/>
      <c r="B9" s="17"/>
      <c r="C9" s="17" t="s">
        <v>431</v>
      </c>
      <c r="D9" s="16">
        <f>SUM(E9:X9)</f>
        <v>43463868.930885196</v>
      </c>
      <c r="E9" s="26" cm="1">
        <f t="array" ref="E9:X9">capex_revenues/wacc_index</f>
        <v>7752652.6167020211</v>
      </c>
      <c r="F9" s="26">
        <v>5957162.4630777529</v>
      </c>
      <c r="G9" s="26">
        <v>5209355.2765925769</v>
      </c>
      <c r="H9" s="26">
        <v>4082513.3845457458</v>
      </c>
      <c r="I9" s="26">
        <v>3479156.234529851</v>
      </c>
      <c r="J9" s="26">
        <v>2924310.6421824917</v>
      </c>
      <c r="K9" s="26">
        <v>2457950.1912300237</v>
      </c>
      <c r="L9" s="26">
        <v>2065963.5318560959</v>
      </c>
      <c r="M9" s="26">
        <v>1736489.750763986</v>
      </c>
      <c r="N9" s="26">
        <v>1459559.4781865717</v>
      </c>
      <c r="O9" s="26">
        <v>1226793.2300936442</v>
      </c>
      <c r="P9" s="26">
        <v>1031147.8578958013</v>
      </c>
      <c r="Q9" s="26">
        <v>866703.43360301887</v>
      </c>
      <c r="R9" s="26">
        <v>728484.12191064213</v>
      </c>
      <c r="S9" s="26">
        <v>612307.61907768541</v>
      </c>
      <c r="T9" s="26">
        <v>514658.60284951096</v>
      </c>
      <c r="U9" s="26">
        <v>432582.36421422905</v>
      </c>
      <c r="V9" s="26">
        <v>363595.4024533988</v>
      </c>
      <c r="W9" s="26">
        <v>305610.2782308028</v>
      </c>
      <c r="X9" s="26">
        <v>256872.4508893626</v>
      </c>
    </row>
    <row r="10" spans="1:25" x14ac:dyDescent="0.35">
      <c r="D10" s="17" t="b">
        <f>ROUND(D9,0)=ROUND(D6,0)</f>
        <v>1</v>
      </c>
      <c r="E10" s="81"/>
      <c r="F10" s="81"/>
      <c r="G10" s="81"/>
      <c r="H10" s="81"/>
      <c r="I10" s="81"/>
      <c r="J10" s="81"/>
      <c r="K10" s="81"/>
      <c r="L10" s="81"/>
      <c r="M10" s="81"/>
      <c r="N10" s="81"/>
      <c r="O10" s="81"/>
      <c r="P10" s="81"/>
      <c r="Q10" s="81"/>
      <c r="R10" s="81"/>
      <c r="S10" s="81"/>
      <c r="T10" s="81"/>
      <c r="U10" s="81"/>
      <c r="V10" s="81"/>
      <c r="W10" s="81"/>
      <c r="X10" s="81"/>
    </row>
    <row r="11" spans="1:25" x14ac:dyDescent="0.35">
      <c r="E11" s="81"/>
    </row>
    <row r="12" spans="1:25" x14ac:dyDescent="0.35">
      <c r="A12" s="14" t="s">
        <v>397</v>
      </c>
      <c r="B12" s="17"/>
      <c r="C12" s="17"/>
      <c r="D12" s="26"/>
      <c r="E12" s="26" cm="1">
        <f t="array" ref="E12:X12">fixed_minutes_incoming</f>
        <v>2577904500</v>
      </c>
      <c r="F12" s="26">
        <v>2332027000</v>
      </c>
      <c r="G12" s="26">
        <v>2412044500</v>
      </c>
      <c r="H12" s="26">
        <v>2180745300</v>
      </c>
      <c r="I12" s="26">
        <v>2180745300</v>
      </c>
      <c r="J12" s="26">
        <v>2180745300</v>
      </c>
      <c r="K12" s="26">
        <v>2180745300</v>
      </c>
      <c r="L12" s="26">
        <v>2180745300</v>
      </c>
      <c r="M12" s="26">
        <v>2180745300</v>
      </c>
      <c r="N12" s="26">
        <v>2180745300</v>
      </c>
      <c r="O12" s="26">
        <v>2180745300</v>
      </c>
      <c r="P12" s="26">
        <v>2180745300</v>
      </c>
      <c r="Q12" s="26">
        <v>2180745300</v>
      </c>
      <c r="R12" s="26">
        <v>2180745300</v>
      </c>
      <c r="S12" s="26">
        <v>2180745300</v>
      </c>
      <c r="T12" s="26">
        <v>2180745300</v>
      </c>
      <c r="U12" s="26">
        <v>2180745300</v>
      </c>
      <c r="V12" s="26">
        <v>2180745300</v>
      </c>
      <c r="W12" s="26">
        <v>2180745300</v>
      </c>
      <c r="X12" s="26">
        <v>2180745300</v>
      </c>
    </row>
    <row r="13" spans="1:25" x14ac:dyDescent="0.35">
      <c r="A13" s="17"/>
      <c r="B13" s="17"/>
      <c r="C13" s="17" t="s">
        <v>407</v>
      </c>
      <c r="D13" s="26"/>
      <c r="E13" s="26" cm="1">
        <f t="array" ref="E13:X13">fixed_minutes_incoming*capex_price_index</f>
        <v>2577904500</v>
      </c>
      <c r="F13" s="26">
        <v>2375363190.4077773</v>
      </c>
      <c r="G13" s="26">
        <v>2502523771.6600361</v>
      </c>
      <c r="H13" s="26">
        <v>2304593266.7251029</v>
      </c>
      <c r="I13" s="26">
        <v>2347419654.5067539</v>
      </c>
      <c r="J13" s="26">
        <v>2391041887.4889035</v>
      </c>
      <c r="K13" s="26">
        <v>2435474754.9081869</v>
      </c>
      <c r="L13" s="26">
        <v>2480733320.8304663</v>
      </c>
      <c r="M13" s="26">
        <v>2526832929.2579961</v>
      </c>
      <c r="N13" s="26">
        <v>2573789209.3314962</v>
      </c>
      <c r="O13" s="26">
        <v>2621618080.628901</v>
      </c>
      <c r="P13" s="26">
        <v>2670335758.5625634</v>
      </c>
      <c r="Q13" s="26">
        <v>2719958759.8767695</v>
      </c>
      <c r="R13" s="26">
        <v>2770503908.2474022</v>
      </c>
      <c r="S13" s="26">
        <v>2821988339.9856715</v>
      </c>
      <c r="T13" s="26">
        <v>2874429509.8478322</v>
      </c>
      <c r="U13" s="26">
        <v>2927845196.9528699</v>
      </c>
      <c r="V13" s="26">
        <v>2982253510.8101473</v>
      </c>
      <c r="W13" s="26">
        <v>3037672897.4590712</v>
      </c>
      <c r="X13" s="26">
        <v>3094122145.7228479</v>
      </c>
      <c r="Y13" s="15" t="s">
        <v>408</v>
      </c>
    </row>
    <row r="14" spans="1:25" x14ac:dyDescent="0.35">
      <c r="A14" s="17"/>
      <c r="B14" s="17"/>
      <c r="C14" s="17" t="s">
        <v>406</v>
      </c>
      <c r="D14" s="26">
        <f>SUM(E14:X14)</f>
        <v>11985756173.891918</v>
      </c>
      <c r="E14" s="26" cm="1">
        <f t="array" ref="E14:X14">volume_ed_capex/wacc_index</f>
        <v>2137899967.2678955</v>
      </c>
      <c r="F14" s="26">
        <v>1642769006.234834</v>
      </c>
      <c r="G14" s="26">
        <v>1436550949.1965117</v>
      </c>
      <c r="H14" s="26">
        <v>1125808889.2552481</v>
      </c>
      <c r="I14" s="26">
        <v>959424904.95407057</v>
      </c>
      <c r="J14" s="26">
        <v>806418646.01727235</v>
      </c>
      <c r="K14" s="26">
        <v>677813374.74813867</v>
      </c>
      <c r="L14" s="26">
        <v>569717693.47905219</v>
      </c>
      <c r="M14" s="26">
        <v>478860793.18469906</v>
      </c>
      <c r="N14" s="26">
        <v>402493483.83263856</v>
      </c>
      <c r="O14" s="26">
        <v>338305008.12216198</v>
      </c>
      <c r="P14" s="26">
        <v>284353121.52314454</v>
      </c>
      <c r="Q14" s="26">
        <v>239005322.94443256</v>
      </c>
      <c r="R14" s="26">
        <v>200889457.76219657</v>
      </c>
      <c r="S14" s="26">
        <v>168852198.53187978</v>
      </c>
      <c r="T14" s="26">
        <v>141924147.07395637</v>
      </c>
      <c r="U14" s="26">
        <v>119290501.97630119</v>
      </c>
      <c r="V14" s="26">
        <v>100266403.95691493</v>
      </c>
      <c r="W14" s="26">
        <v>84276213.075610101</v>
      </c>
      <c r="X14" s="26">
        <v>70836090.754961282</v>
      </c>
    </row>
    <row r="15" spans="1:25" x14ac:dyDescent="0.35">
      <c r="D15" s="15" t="s">
        <v>423</v>
      </c>
    </row>
    <row r="17" spans="1:25" x14ac:dyDescent="0.35">
      <c r="D17" s="52" t="s">
        <v>345</v>
      </c>
      <c r="E17" s="52" cm="1">
        <f t="array" ref="E17:X17">years</f>
        <v>2018</v>
      </c>
      <c r="F17" s="52">
        <v>2019</v>
      </c>
      <c r="G17" s="52">
        <v>2020</v>
      </c>
      <c r="H17" s="52">
        <v>2021</v>
      </c>
      <c r="I17" s="52">
        <v>2022</v>
      </c>
      <c r="J17" s="52">
        <v>2023</v>
      </c>
      <c r="K17" s="52">
        <v>2024</v>
      </c>
      <c r="L17" s="52">
        <v>2025</v>
      </c>
      <c r="M17" s="52">
        <v>2026</v>
      </c>
      <c r="N17" s="52">
        <v>2027</v>
      </c>
      <c r="O17" s="52">
        <v>2028</v>
      </c>
      <c r="P17" s="52">
        <v>2029</v>
      </c>
      <c r="Q17" s="52">
        <v>2030</v>
      </c>
      <c r="R17" s="52">
        <v>2031</v>
      </c>
      <c r="S17" s="52">
        <v>2032</v>
      </c>
      <c r="T17" s="52">
        <v>2033</v>
      </c>
      <c r="U17" s="52">
        <v>2034</v>
      </c>
      <c r="V17" s="52">
        <v>2035</v>
      </c>
      <c r="W17" s="52">
        <v>2036</v>
      </c>
      <c r="X17" s="52">
        <v>2037</v>
      </c>
    </row>
    <row r="18" spans="1:25" x14ac:dyDescent="0.35">
      <c r="A18" s="17"/>
      <c r="B18" s="17" t="s">
        <v>405</v>
      </c>
      <c r="C18" s="233" t="s">
        <v>430</v>
      </c>
      <c r="D18" s="26">
        <f>core_costs_opex_incomingonly_discounted_pv</f>
        <v>19352061.222038899</v>
      </c>
      <c r="E18" s="17"/>
      <c r="F18" s="17"/>
      <c r="G18" s="17"/>
      <c r="H18" s="17"/>
      <c r="I18" s="17"/>
      <c r="J18" s="17"/>
      <c r="K18" s="17"/>
      <c r="L18" s="17"/>
      <c r="M18" s="17"/>
      <c r="N18" s="17"/>
      <c r="O18" s="17"/>
      <c r="P18" s="17"/>
      <c r="Q18" s="17"/>
      <c r="R18" s="17"/>
      <c r="S18" s="17"/>
      <c r="T18" s="17"/>
      <c r="U18" s="17"/>
      <c r="V18" s="17"/>
      <c r="W18" s="17"/>
      <c r="X18" s="17"/>
    </row>
    <row r="19" spans="1:25" x14ac:dyDescent="0.35">
      <c r="A19" s="17"/>
      <c r="B19" s="17"/>
      <c r="C19" s="17" t="s">
        <v>421</v>
      </c>
      <c r="D19" s="223">
        <f>D18/D26</f>
        <v>1.4163660245521935E-3</v>
      </c>
      <c r="E19" s="224" cm="1">
        <f t="array" ref="E19:X19">$D$19*opex_price_index</f>
        <v>1.4163660245521935E-3</v>
      </c>
      <c r="F19" s="223">
        <v>1.4744370315588333E-3</v>
      </c>
      <c r="G19" s="223">
        <v>1.5230934536002746E-3</v>
      </c>
      <c r="H19" s="223">
        <v>1.5916326590122867E-3</v>
      </c>
      <c r="I19" s="223">
        <v>1.7014553124841344E-3</v>
      </c>
      <c r="J19" s="223">
        <v>1.8035426312331829E-3</v>
      </c>
      <c r="K19" s="223">
        <v>1.8937197627948419E-3</v>
      </c>
      <c r="L19" s="223">
        <v>1.9789371521206096E-3</v>
      </c>
      <c r="M19" s="223">
        <v>2.0679893239660373E-3</v>
      </c>
      <c r="N19" s="223">
        <v>2.1610488435445086E-3</v>
      </c>
      <c r="O19" s="223">
        <v>2.2582960415040111E-3</v>
      </c>
      <c r="P19" s="223">
        <v>2.3599193633716915E-3</v>
      </c>
      <c r="Q19" s="223">
        <v>2.4661157347234176E-3</v>
      </c>
      <c r="R19" s="223">
        <v>2.577090942785971E-3</v>
      </c>
      <c r="S19" s="223">
        <v>2.6930600352113396E-3</v>
      </c>
      <c r="T19" s="223">
        <v>2.8142477367958498E-3</v>
      </c>
      <c r="U19" s="223">
        <v>2.9408888849516623E-3</v>
      </c>
      <c r="V19" s="223">
        <v>3.0732288847744871E-3</v>
      </c>
      <c r="W19" s="223">
        <v>3.2115241845893385E-3</v>
      </c>
      <c r="X19" s="223">
        <v>3.3560427728958585E-3</v>
      </c>
      <c r="Y19" s="15" t="s">
        <v>416</v>
      </c>
    </row>
    <row r="20" spans="1:25" x14ac:dyDescent="0.35">
      <c r="A20" s="17"/>
      <c r="B20" s="17"/>
      <c r="C20" s="17" t="s">
        <v>411</v>
      </c>
      <c r="D20" s="17"/>
      <c r="E20" s="26">
        <f>E19*E24</f>
        <v>3651256.34834021</v>
      </c>
      <c r="F20" s="26">
        <f>F19*F24</f>
        <v>3438426.9673950514</v>
      </c>
      <c r="G20" s="26">
        <f>G19*G24</f>
        <v>3673769.1877425476</v>
      </c>
      <c r="H20" s="26">
        <f>H19*H24</f>
        <v>3470945.4404675472</v>
      </c>
      <c r="I20" s="26">
        <f>I19*I24</f>
        <v>3710440.6758598075</v>
      </c>
      <c r="J20" s="26">
        <f>J19*J24</f>
        <v>3933067.1164113968</v>
      </c>
      <c r="K20" s="26">
        <f>K19*K24</f>
        <v>4129720.4722319664</v>
      </c>
      <c r="L20" s="26">
        <f>L19*L24</f>
        <v>4315557.8934824048</v>
      </c>
      <c r="M20" s="26">
        <f>M19*M24</f>
        <v>4509757.9986891132</v>
      </c>
      <c r="N20" s="26">
        <f>N19*N24</f>
        <v>4712697.1086301226</v>
      </c>
      <c r="O20" s="26">
        <f>O19*O24</f>
        <v>4924768.4785184767</v>
      </c>
      <c r="P20" s="26">
        <f>P19*P24</f>
        <v>5146383.0600518081</v>
      </c>
      <c r="Q20" s="26">
        <f>Q19*Q24</f>
        <v>5377970.2977541396</v>
      </c>
      <c r="R20" s="26">
        <f>R19*R24</f>
        <v>5619978.9611530751</v>
      </c>
      <c r="S20" s="26">
        <f>S19*S24</f>
        <v>5872878.0144049637</v>
      </c>
      <c r="T20" s="26">
        <f>T19*T24</f>
        <v>6137157.5250531863</v>
      </c>
      <c r="U20" s="26">
        <f>U19*U24</f>
        <v>6413329.6136805778</v>
      </c>
      <c r="V20" s="26">
        <f>V19*V24</f>
        <v>6701929.4462962039</v>
      </c>
      <c r="W20" s="26">
        <f>W19*W24</f>
        <v>7003516.2713795323</v>
      </c>
      <c r="X20" s="26">
        <f>X19*X24</f>
        <v>7318674.5035916111</v>
      </c>
    </row>
    <row r="21" spans="1:25" x14ac:dyDescent="0.35">
      <c r="A21" s="17"/>
      <c r="B21" s="17"/>
      <c r="C21" s="17" t="s">
        <v>432</v>
      </c>
      <c r="D21" s="16">
        <f>SUM(E21:X21)</f>
        <v>19352061.22203891</v>
      </c>
      <c r="E21" s="26" cm="1">
        <f t="array" ref="E21:X21">opex_revenues/wacc_index</f>
        <v>3028048.8775294935</v>
      </c>
      <c r="F21" s="26">
        <v>2377969.5143246455</v>
      </c>
      <c r="G21" s="26">
        <v>2108893.699051504</v>
      </c>
      <c r="H21" s="26">
        <v>1695579.5573208393</v>
      </c>
      <c r="I21" s="26">
        <v>1516511.6241316155</v>
      </c>
      <c r="J21" s="26">
        <v>1326492.3025010184</v>
      </c>
      <c r="K21" s="26">
        <v>1149336.3930005303</v>
      </c>
      <c r="L21" s="26">
        <v>991097.9420903814</v>
      </c>
      <c r="M21" s="26">
        <v>854645.46045688109</v>
      </c>
      <c r="N21" s="26">
        <v>736979.49724220589</v>
      </c>
      <c r="O21" s="26">
        <v>635513.56028384028</v>
      </c>
      <c r="P21" s="26">
        <v>548017.26074600604</v>
      </c>
      <c r="Q21" s="26">
        <v>472567.28549021418</v>
      </c>
      <c r="R21" s="26">
        <v>407505.11947668996</v>
      </c>
      <c r="S21" s="26">
        <v>351400.58886524453</v>
      </c>
      <c r="T21" s="26">
        <v>303020.4234327515</v>
      </c>
      <c r="U21" s="26">
        <v>261301.14725725682</v>
      </c>
      <c r="V21" s="26">
        <v>225325.70176119314</v>
      </c>
      <c r="W21" s="26">
        <v>194303.28724958986</v>
      </c>
      <c r="X21" s="26">
        <v>167551.97982700259</v>
      </c>
    </row>
    <row r="22" spans="1:25" x14ac:dyDescent="0.35">
      <c r="D22" s="17" t="b">
        <f>ROUND(D21,2)=ROUND(D18,2)</f>
        <v>1</v>
      </c>
    </row>
    <row r="24" spans="1:25" x14ac:dyDescent="0.35">
      <c r="A24" s="17" t="s">
        <v>397</v>
      </c>
      <c r="B24" s="17"/>
      <c r="C24" s="17"/>
      <c r="D24" s="17"/>
      <c r="E24" s="26" cm="1">
        <f t="array" ref="E24:X24">fixed_minutes_incoming</f>
        <v>2577904500</v>
      </c>
      <c r="F24" s="26">
        <v>2332027000</v>
      </c>
      <c r="G24" s="26">
        <v>2412044500</v>
      </c>
      <c r="H24" s="26">
        <v>2180745300</v>
      </c>
      <c r="I24" s="26">
        <v>2180745300</v>
      </c>
      <c r="J24" s="26">
        <v>2180745300</v>
      </c>
      <c r="K24" s="26">
        <v>2180745300</v>
      </c>
      <c r="L24" s="26">
        <v>2180745300</v>
      </c>
      <c r="M24" s="26">
        <v>2180745300</v>
      </c>
      <c r="N24" s="26">
        <v>2180745300</v>
      </c>
      <c r="O24" s="26">
        <v>2180745300</v>
      </c>
      <c r="P24" s="26">
        <v>2180745300</v>
      </c>
      <c r="Q24" s="26">
        <v>2180745300</v>
      </c>
      <c r="R24" s="26">
        <v>2180745300</v>
      </c>
      <c r="S24" s="26">
        <v>2180745300</v>
      </c>
      <c r="T24" s="26">
        <v>2180745300</v>
      </c>
      <c r="U24" s="26">
        <v>2180745300</v>
      </c>
      <c r="V24" s="26">
        <v>2180745300</v>
      </c>
      <c r="W24" s="26">
        <v>2180745300</v>
      </c>
      <c r="X24" s="26">
        <v>2180745300</v>
      </c>
    </row>
    <row r="25" spans="1:25" x14ac:dyDescent="0.35">
      <c r="A25" s="17"/>
      <c r="B25" s="17"/>
      <c r="C25" s="17"/>
      <c r="D25" s="17"/>
      <c r="E25" s="26" cm="1">
        <f t="array" ref="E25:X25">fixed_minutes_incoming*opex_price_index</f>
        <v>2577904500</v>
      </c>
      <c r="F25" s="26">
        <v>2427640107</v>
      </c>
      <c r="G25" s="26">
        <v>2593799289.2084994</v>
      </c>
      <c r="H25" s="26">
        <v>2450599195.6174898</v>
      </c>
      <c r="I25" s="26">
        <v>2619690540.1150966</v>
      </c>
      <c r="J25" s="26">
        <v>2776871972.5220027</v>
      </c>
      <c r="K25" s="26">
        <v>2915715571.1481028</v>
      </c>
      <c r="L25" s="26">
        <v>3046922771.8497672</v>
      </c>
      <c r="M25" s="26">
        <v>3184034296.5830064</v>
      </c>
      <c r="N25" s="26">
        <v>3327315839.9292417</v>
      </c>
      <c r="O25" s="26">
        <v>3477045052.7260571</v>
      </c>
      <c r="P25" s="26">
        <v>3633512080.0987296</v>
      </c>
      <c r="Q25" s="26">
        <v>3797020123.7031717</v>
      </c>
      <c r="R25" s="26">
        <v>3967886029.269814</v>
      </c>
      <c r="S25" s="26">
        <v>4146440900.5869555</v>
      </c>
      <c r="T25" s="26">
        <v>4333030741.113368</v>
      </c>
      <c r="U25" s="26">
        <v>4528017124.4634695</v>
      </c>
      <c r="V25" s="26">
        <v>4731777895.0643253</v>
      </c>
      <c r="W25" s="26">
        <v>4944707900.3422194</v>
      </c>
      <c r="X25" s="26">
        <v>5167219755.8576183</v>
      </c>
      <c r="Y25" s="15" t="s">
        <v>410</v>
      </c>
    </row>
    <row r="26" spans="1:25" x14ac:dyDescent="0.35">
      <c r="A26" s="17"/>
      <c r="B26" s="17"/>
      <c r="C26" s="17"/>
      <c r="D26" s="16">
        <f>SUM(E26:X26)</f>
        <v>13663178081.497231</v>
      </c>
      <c r="E26" s="26" cm="1">
        <f t="array" ref="E26:X26">volume_ed_opex/wacc_index</f>
        <v>2137899967.2678955</v>
      </c>
      <c r="F26" s="26">
        <v>1678923013.6161153</v>
      </c>
      <c r="G26" s="26">
        <v>1488946827.6523111</v>
      </c>
      <c r="H26" s="26">
        <v>1197133740.8046932</v>
      </c>
      <c r="I26" s="26">
        <v>1070706016.5546436</v>
      </c>
      <c r="J26" s="26">
        <v>936546259.58739007</v>
      </c>
      <c r="K26" s="26">
        <v>811468485.60131991</v>
      </c>
      <c r="L26" s="26">
        <v>699747046.25079715</v>
      </c>
      <c r="M26" s="26">
        <v>603407202.40524745</v>
      </c>
      <c r="N26" s="26">
        <v>520331245.21976137</v>
      </c>
      <c r="O26" s="26">
        <v>448693027.97966224</v>
      </c>
      <c r="P26" s="26">
        <v>386917824.38036835</v>
      </c>
      <c r="Q26" s="26">
        <v>333647713.44301611</v>
      </c>
      <c r="R26" s="26">
        <v>287711730.16913414</v>
      </c>
      <c r="S26" s="26">
        <v>248100125.79646942</v>
      </c>
      <c r="T26" s="26">
        <v>213942171.85388654</v>
      </c>
      <c r="U26" s="26">
        <v>184487020.11181843</v>
      </c>
      <c r="V26" s="26">
        <v>159087197.69837281</v>
      </c>
      <c r="W26" s="26">
        <v>137184374.57649547</v>
      </c>
      <c r="X26" s="26">
        <v>118297090.5278364</v>
      </c>
    </row>
    <row r="27" spans="1:25" x14ac:dyDescent="0.35">
      <c r="D27" s="15" t="s">
        <v>422</v>
      </c>
    </row>
    <row r="28" spans="1:25" x14ac:dyDescent="0.35">
      <c r="E28" s="209" cm="1">
        <f t="array" ref="E28:X28">years</f>
        <v>2018</v>
      </c>
      <c r="F28" s="209">
        <v>2019</v>
      </c>
      <c r="G28" s="209">
        <v>2020</v>
      </c>
      <c r="H28" s="209">
        <v>2021</v>
      </c>
      <c r="I28" s="209">
        <v>2022</v>
      </c>
      <c r="J28" s="209">
        <v>2023</v>
      </c>
      <c r="K28" s="209">
        <v>2024</v>
      </c>
      <c r="L28" s="209">
        <v>2025</v>
      </c>
      <c r="M28" s="209">
        <v>2026</v>
      </c>
      <c r="N28" s="209">
        <v>2027</v>
      </c>
      <c r="O28" s="209">
        <v>2028</v>
      </c>
      <c r="P28" s="209">
        <v>2029</v>
      </c>
      <c r="Q28" s="209">
        <v>2030</v>
      </c>
      <c r="R28" s="209">
        <v>2031</v>
      </c>
      <c r="S28" s="209">
        <v>2032</v>
      </c>
      <c r="T28" s="209">
        <v>2033</v>
      </c>
      <c r="U28" s="209">
        <v>2034</v>
      </c>
      <c r="V28" s="209">
        <v>2035</v>
      </c>
      <c r="W28" s="209">
        <v>2036</v>
      </c>
      <c r="X28" s="209">
        <v>2037</v>
      </c>
    </row>
    <row r="29" spans="1:25" x14ac:dyDescent="0.35">
      <c r="A29" s="17" t="s">
        <v>415</v>
      </c>
      <c r="B29" s="17"/>
      <c r="C29" s="17"/>
      <c r="D29" s="17"/>
      <c r="E29" s="225" cm="1">
        <f t="array" ref="E29:X29">capex_tariff+ opex_tariff</f>
        <v>5.0426594598851071E-3</v>
      </c>
      <c r="F29" s="225">
        <v>5.1681180840968911E-3</v>
      </c>
      <c r="G29" s="225">
        <v>5.285414391267616E-3</v>
      </c>
      <c r="H29" s="225">
        <v>5.4238690206991269E-3</v>
      </c>
      <c r="I29" s="225">
        <v>5.6049063404924482E-3</v>
      </c>
      <c r="J29" s="225">
        <v>5.7795317117585567E-3</v>
      </c>
      <c r="K29" s="225">
        <v>5.9435948745938192E-3</v>
      </c>
      <c r="L29" s="225">
        <v>6.1040713235156543E-3</v>
      </c>
      <c r="M29" s="225">
        <v>6.2697810983430389E-3</v>
      </c>
      <c r="N29" s="225">
        <v>6.4409227535006577E-3</v>
      </c>
      <c r="O29" s="225">
        <v>6.6177030918067939E-3</v>
      </c>
      <c r="P29" s="225">
        <v>6.8003375228927326E-3</v>
      </c>
      <c r="Q29" s="225">
        <v>6.9890504375139644E-3</v>
      </c>
      <c r="R29" s="225">
        <v>7.1840755984638877E-3</v>
      </c>
      <c r="S29" s="225">
        <v>7.3856565488326538E-3</v>
      </c>
      <c r="T29" s="225">
        <v>7.5940470383870987E-3</v>
      </c>
      <c r="U29" s="225">
        <v>7.8095114688825759E-3</v>
      </c>
      <c r="V29" s="225">
        <v>8.0323253591538524E-3</v>
      </c>
      <c r="W29" s="225">
        <v>8.2627758308703326E-3</v>
      </c>
      <c r="X29" s="225">
        <v>8.5011621158805496E-3</v>
      </c>
      <c r="Y29" s="15" t="s">
        <v>418</v>
      </c>
    </row>
    <row r="31" spans="1:25" x14ac:dyDescent="0.35">
      <c r="A31" s="17" t="s">
        <v>419</v>
      </c>
      <c r="B31" s="17"/>
      <c r="C31" s="17" t="s">
        <v>433</v>
      </c>
      <c r="D31" s="16"/>
      <c r="E31" s="218" cm="1">
        <f t="array" ref="E31:X31">ROUND(pure_lric*fixed_minutes_incoming,2)</f>
        <v>12999494.51</v>
      </c>
      <c r="F31" s="218">
        <v>12052190.91</v>
      </c>
      <c r="G31" s="218">
        <v>12748654.710000001</v>
      </c>
      <c r="H31" s="218">
        <v>11828076.869999999</v>
      </c>
      <c r="I31" s="218">
        <v>12222873.16</v>
      </c>
      <c r="J31" s="218">
        <v>12603686.619999999</v>
      </c>
      <c r="K31" s="218">
        <v>12961466.59</v>
      </c>
      <c r="L31" s="218">
        <v>13311424.85</v>
      </c>
      <c r="M31" s="218">
        <v>13672795.66</v>
      </c>
      <c r="N31" s="218">
        <v>14046012.02</v>
      </c>
      <c r="O31" s="218">
        <v>14431524.91</v>
      </c>
      <c r="P31" s="218">
        <v>14829804.09</v>
      </c>
      <c r="Q31" s="218">
        <v>15241338.890000001</v>
      </c>
      <c r="R31" s="218">
        <v>15666639.1</v>
      </c>
      <c r="S31" s="218">
        <v>16106235.810000001</v>
      </c>
      <c r="T31" s="218">
        <v>16560682.390000001</v>
      </c>
      <c r="U31" s="218">
        <v>17030555.43</v>
      </c>
      <c r="V31" s="218">
        <v>17516455.780000001</v>
      </c>
      <c r="W31" s="218">
        <v>18019009.559999999</v>
      </c>
      <c r="X31" s="218">
        <v>18538869.329999998</v>
      </c>
    </row>
    <row r="32" spans="1:25" x14ac:dyDescent="0.35">
      <c r="A32" s="17"/>
      <c r="B32" s="17"/>
      <c r="C32" s="17" t="s">
        <v>434</v>
      </c>
      <c r="D32" s="16">
        <f>D26+D9</f>
        <v>13706641950.428116</v>
      </c>
      <c r="E32" s="218" cm="1">
        <f t="array" ref="E32:X32">ROUND(opex_revenues+capex_revenues,2)</f>
        <v>12999494.51</v>
      </c>
      <c r="F32" s="218">
        <v>12052190.91</v>
      </c>
      <c r="G32" s="218">
        <v>12748654.710000001</v>
      </c>
      <c r="H32" s="218">
        <v>11828076.869999999</v>
      </c>
      <c r="I32" s="218">
        <v>12222873.16</v>
      </c>
      <c r="J32" s="218">
        <v>12603686.619999999</v>
      </c>
      <c r="K32" s="218">
        <v>12961466.59</v>
      </c>
      <c r="L32" s="218">
        <v>13311424.85</v>
      </c>
      <c r="M32" s="218">
        <v>13672795.66</v>
      </c>
      <c r="N32" s="218">
        <v>14046012.02</v>
      </c>
      <c r="O32" s="218">
        <v>14431524.91</v>
      </c>
      <c r="P32" s="218">
        <v>14829804.09</v>
      </c>
      <c r="Q32" s="218">
        <v>15241338.890000001</v>
      </c>
      <c r="R32" s="218">
        <v>15666639.1</v>
      </c>
      <c r="S32" s="218">
        <v>16106235.810000001</v>
      </c>
      <c r="T32" s="218">
        <v>16560682.390000001</v>
      </c>
      <c r="U32" s="218">
        <v>17030555.43</v>
      </c>
      <c r="V32" s="218">
        <v>17516455.780000001</v>
      </c>
      <c r="W32" s="218">
        <v>18019009.559999999</v>
      </c>
      <c r="X32" s="218">
        <v>18538869.329999998</v>
      </c>
    </row>
    <row r="33" spans="1:24" x14ac:dyDescent="0.35">
      <c r="A33" s="17"/>
      <c r="B33" s="17"/>
      <c r="C33" s="17"/>
      <c r="D33" s="17"/>
      <c r="E33" s="17" t="b">
        <f>E32=E31</f>
        <v>1</v>
      </c>
      <c r="F33" s="17" t="b">
        <f t="shared" ref="F33:X33" si="0">F32=F31</f>
        <v>1</v>
      </c>
      <c r="G33" s="17" t="b">
        <f t="shared" si="0"/>
        <v>1</v>
      </c>
      <c r="H33" s="17" t="b">
        <f t="shared" si="0"/>
        <v>1</v>
      </c>
      <c r="I33" s="17" t="b">
        <f t="shared" si="0"/>
        <v>1</v>
      </c>
      <c r="J33" s="17" t="b">
        <f t="shared" si="0"/>
        <v>1</v>
      </c>
      <c r="K33" s="17" t="b">
        <f t="shared" si="0"/>
        <v>1</v>
      </c>
      <c r="L33" s="17" t="b">
        <f t="shared" si="0"/>
        <v>1</v>
      </c>
      <c r="M33" s="17" t="b">
        <f>M32=M31</f>
        <v>1</v>
      </c>
      <c r="N33" s="17" t="b">
        <f t="shared" si="0"/>
        <v>1</v>
      </c>
      <c r="O33" s="17" t="b">
        <f t="shared" si="0"/>
        <v>1</v>
      </c>
      <c r="P33" s="17" t="b">
        <f t="shared" si="0"/>
        <v>1</v>
      </c>
      <c r="Q33" s="17" t="b">
        <f t="shared" si="0"/>
        <v>1</v>
      </c>
      <c r="R33" s="17" t="b">
        <f t="shared" si="0"/>
        <v>1</v>
      </c>
      <c r="S33" s="17" t="b">
        <f t="shared" si="0"/>
        <v>1</v>
      </c>
      <c r="T33" s="17" t="b">
        <f t="shared" si="0"/>
        <v>1</v>
      </c>
      <c r="U33" s="17" t="b">
        <f t="shared" si="0"/>
        <v>1</v>
      </c>
      <c r="V33" s="17" t="b">
        <f t="shared" si="0"/>
        <v>1</v>
      </c>
      <c r="W33" s="17" t="b">
        <f t="shared" si="0"/>
        <v>1</v>
      </c>
      <c r="X33" s="17" t="b">
        <f t="shared" si="0"/>
        <v>1</v>
      </c>
    </row>
    <row r="34" spans="1:24" x14ac:dyDescent="0.35">
      <c r="D34" s="23"/>
      <c r="M34" s="23">
        <f>M31-M32</f>
        <v>0</v>
      </c>
    </row>
    <row r="35" spans="1:24" x14ac:dyDescent="0.35">
      <c r="D35" s="81"/>
    </row>
    <row r="36" spans="1:24" s="49" customFormat="1" x14ac:dyDescent="0.35">
      <c r="A36" s="48" t="s">
        <v>424</v>
      </c>
      <c r="D36" s="226"/>
    </row>
    <row r="37" spans="1:24" x14ac:dyDescent="0.35">
      <c r="D37" s="23"/>
    </row>
    <row r="38" spans="1:24" x14ac:dyDescent="0.35">
      <c r="A38" s="12" t="s">
        <v>425</v>
      </c>
      <c r="D38" s="52" t="s">
        <v>345</v>
      </c>
      <c r="E38" s="198" cm="1">
        <f t="array" ref="E38:X38">years</f>
        <v>2018</v>
      </c>
      <c r="F38" s="198">
        <v>2019</v>
      </c>
      <c r="G38" s="198">
        <v>2020</v>
      </c>
      <c r="H38" s="198">
        <v>2021</v>
      </c>
      <c r="I38" s="198">
        <v>2022</v>
      </c>
      <c r="J38" s="198">
        <v>2023</v>
      </c>
      <c r="K38" s="198">
        <v>2024</v>
      </c>
      <c r="L38" s="198">
        <v>2025</v>
      </c>
      <c r="M38" s="198">
        <v>2026</v>
      </c>
      <c r="N38" s="198">
        <v>2027</v>
      </c>
      <c r="O38" s="198">
        <v>2028</v>
      </c>
      <c r="P38" s="198">
        <v>2029</v>
      </c>
      <c r="Q38" s="198">
        <v>2030</v>
      </c>
      <c r="R38" s="198">
        <v>2031</v>
      </c>
      <c r="S38" s="198">
        <v>2032</v>
      </c>
      <c r="T38" s="198">
        <v>2033</v>
      </c>
      <c r="U38" s="198">
        <v>2034</v>
      </c>
      <c r="V38" s="198">
        <v>2035</v>
      </c>
      <c r="W38" s="198">
        <v>2036</v>
      </c>
      <c r="X38" s="198">
        <v>2037</v>
      </c>
    </row>
    <row r="39" spans="1:24" x14ac:dyDescent="0.35">
      <c r="A39" s="17"/>
      <c r="B39" s="17"/>
      <c r="C39" s="17" t="s">
        <v>426</v>
      </c>
      <c r="D39" s="16">
        <f>ROUND(SUM(E39:X39),0)</f>
        <v>62815930</v>
      </c>
      <c r="E39" s="26" cm="1">
        <f t="array" ref="E39:X39">E31:X31/wacc_index</f>
        <v>10780701.491241505</v>
      </c>
      <c r="F39" s="26">
        <v>8335131.9765018001</v>
      </c>
      <c r="G39" s="26">
        <v>7318248.9741068566</v>
      </c>
      <c r="H39" s="26">
        <v>5778092.9395680521</v>
      </c>
      <c r="I39" s="26">
        <v>4995667.8590828078</v>
      </c>
      <c r="J39" s="26">
        <v>4250802.945824001</v>
      </c>
      <c r="K39" s="26">
        <v>3607286.584822081</v>
      </c>
      <c r="L39" s="26">
        <v>3057061.4740333925</v>
      </c>
      <c r="M39" s="26">
        <v>2591135.2107962845</v>
      </c>
      <c r="N39" s="26">
        <v>2196538.9750597766</v>
      </c>
      <c r="O39" s="26">
        <v>1862306.7898286416</v>
      </c>
      <c r="P39" s="26">
        <v>1579165.1184861283</v>
      </c>
      <c r="Q39" s="26">
        <v>1339270.7188233356</v>
      </c>
      <c r="R39" s="26">
        <v>1135989.2416632466</v>
      </c>
      <c r="S39" s="26">
        <v>963708.20816545258</v>
      </c>
      <c r="T39" s="26">
        <v>817679.02643327089</v>
      </c>
      <c r="U39" s="26">
        <v>693883.51142822555</v>
      </c>
      <c r="V39" s="26">
        <v>588921.10438116465</v>
      </c>
      <c r="W39" s="26">
        <v>499913.56553243776</v>
      </c>
      <c r="X39" s="26">
        <v>424424.43074510683</v>
      </c>
    </row>
    <row r="40" spans="1:24" x14ac:dyDescent="0.35">
      <c r="A40" s="17"/>
      <c r="B40" s="17"/>
      <c r="C40" s="17" t="s">
        <v>427</v>
      </c>
      <c r="D40" s="16">
        <f>ROUND(D6+D18,0)</f>
        <v>62815930</v>
      </c>
      <c r="E40" s="26"/>
      <c r="F40" s="26"/>
      <c r="G40" s="26"/>
      <c r="H40" s="26"/>
      <c r="I40" s="26"/>
      <c r="J40" s="26"/>
      <c r="K40" s="26"/>
      <c r="L40" s="26"/>
      <c r="M40" s="26"/>
      <c r="N40" s="26"/>
      <c r="O40" s="26"/>
      <c r="P40" s="26"/>
      <c r="Q40" s="26"/>
      <c r="R40" s="26"/>
      <c r="S40" s="26"/>
      <c r="T40" s="26"/>
      <c r="U40" s="26"/>
      <c r="V40" s="26"/>
      <c r="W40" s="26"/>
      <c r="X40" s="26"/>
    </row>
    <row r="41" spans="1:24" x14ac:dyDescent="0.35">
      <c r="D41" s="17" t="b">
        <f>ROUND(D40,0)=ROUND(D39,0)</f>
        <v>1</v>
      </c>
    </row>
  </sheetData>
  <conditionalFormatting sqref="D10">
    <cfRule type="cellIs" dxfId="7" priority="7" operator="equal">
      <formula>TRUE</formula>
    </cfRule>
    <cfRule type="cellIs" dxfId="6" priority="8" operator="equal">
      <formula>FALSE</formula>
    </cfRule>
  </conditionalFormatting>
  <conditionalFormatting sqref="D22">
    <cfRule type="cellIs" dxfId="5" priority="5" operator="equal">
      <formula>TRUE</formula>
    </cfRule>
    <cfRule type="cellIs" dxfId="4" priority="6" operator="equal">
      <formula>FALSE</formula>
    </cfRule>
  </conditionalFormatting>
  <conditionalFormatting sqref="D41">
    <cfRule type="cellIs" dxfId="3" priority="1" operator="equal">
      <formula>TRUE</formula>
    </cfRule>
    <cfRule type="cellIs" dxfId="2" priority="2" operator="equal">
      <formula>FALSE</formula>
    </cfRule>
  </conditionalFormatting>
  <conditionalFormatting sqref="E33:X33">
    <cfRule type="cellIs" dxfId="1" priority="3" operator="equal">
      <formula>TRUE</formula>
    </cfRule>
    <cfRule type="cellIs" dxfId="0" priority="4" operator="equal">
      <formula>FALSE</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B89FC-879E-4E94-B95D-DFA39955FFEF}">
  <sheetPr>
    <tabColor theme="3" tint="0.79998168889431442"/>
  </sheetPr>
  <dimension ref="B2"/>
  <sheetViews>
    <sheetView workbookViewId="0">
      <selection activeCell="B6" sqref="B6"/>
    </sheetView>
  </sheetViews>
  <sheetFormatPr defaultColWidth="8.54296875" defaultRowHeight="14.5" x14ac:dyDescent="0.35"/>
  <cols>
    <col min="1" max="16384" width="8.54296875" style="12"/>
  </cols>
  <sheetData>
    <row r="2" spans="2:2" x14ac:dyDescent="0.35">
      <c r="B2" s="12"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D284-C3DD-4A9A-9C93-495896E40B45}">
  <dimension ref="A1:X58"/>
  <sheetViews>
    <sheetView topLeftCell="A9" zoomScaleNormal="100" workbookViewId="0">
      <pane xSplit="1" topLeftCell="B1" activePane="topRight" state="frozen"/>
      <selection activeCell="B6" sqref="B6"/>
      <selection pane="topRight" activeCell="C20" sqref="C20"/>
    </sheetView>
  </sheetViews>
  <sheetFormatPr defaultColWidth="8.54296875" defaultRowHeight="14.5" x14ac:dyDescent="0.35"/>
  <cols>
    <col min="1" max="1" width="55.6328125" style="12" customWidth="1"/>
    <col min="2" max="2" width="27.453125" style="12" customWidth="1"/>
    <col min="3" max="3" width="10" style="12" bestFit="1" customWidth="1"/>
    <col min="4" max="23" width="15.6328125" style="12" customWidth="1"/>
    <col min="24" max="16384" width="8.54296875" style="12"/>
  </cols>
  <sheetData>
    <row r="1" spans="1:24" ht="18.5" x14ac:dyDescent="0.45">
      <c r="A1" s="50" t="s">
        <v>256</v>
      </c>
      <c r="B1" s="50"/>
      <c r="C1" s="49"/>
    </row>
    <row r="3" spans="1:24" x14ac:dyDescent="0.35">
      <c r="D3" s="52" cm="1">
        <f t="array" ref="D3:W3">years</f>
        <v>2018</v>
      </c>
      <c r="E3" s="52">
        <v>2019</v>
      </c>
      <c r="F3" s="52">
        <v>2020</v>
      </c>
      <c r="G3" s="52">
        <v>2021</v>
      </c>
      <c r="H3" s="52">
        <v>2022</v>
      </c>
      <c r="I3" s="52">
        <v>2023</v>
      </c>
      <c r="J3" s="52">
        <v>2024</v>
      </c>
      <c r="K3" s="52">
        <v>2025</v>
      </c>
      <c r="L3" s="52">
        <v>2026</v>
      </c>
      <c r="M3" s="52">
        <v>2027</v>
      </c>
      <c r="N3" s="52">
        <v>2028</v>
      </c>
      <c r="O3" s="52">
        <v>2029</v>
      </c>
      <c r="P3" s="52">
        <v>2030</v>
      </c>
      <c r="Q3" s="52">
        <v>2031</v>
      </c>
      <c r="R3" s="52">
        <v>2032</v>
      </c>
      <c r="S3" s="52">
        <v>2033</v>
      </c>
      <c r="T3" s="52">
        <v>2034</v>
      </c>
      <c r="U3" s="52">
        <v>2035</v>
      </c>
      <c r="V3" s="52">
        <v>2036</v>
      </c>
      <c r="W3" s="52">
        <v>2037</v>
      </c>
    </row>
    <row r="4" spans="1:24" x14ac:dyDescent="0.35">
      <c r="A4" s="17" t="s">
        <v>257</v>
      </c>
      <c r="C4" s="237">
        <f>(-1%+'Financial Inputs'!C10)</f>
        <v>1.8583056889039974E-2</v>
      </c>
      <c r="D4" s="60">
        <f>$C4</f>
        <v>1.8583056889039974E-2</v>
      </c>
      <c r="E4" s="60">
        <f>$C4</f>
        <v>1.8583056889039974E-2</v>
      </c>
      <c r="F4" s="60">
        <f t="shared" ref="F4:W4" si="0">$C4</f>
        <v>1.8583056889039974E-2</v>
      </c>
      <c r="G4" s="60">
        <f t="shared" si="0"/>
        <v>1.8583056889039974E-2</v>
      </c>
      <c r="H4" s="60">
        <f t="shared" si="0"/>
        <v>1.8583056889039974E-2</v>
      </c>
      <c r="I4" s="60">
        <f t="shared" si="0"/>
        <v>1.8583056889039974E-2</v>
      </c>
      <c r="J4" s="60">
        <f t="shared" si="0"/>
        <v>1.8583056889039974E-2</v>
      </c>
      <c r="K4" s="60">
        <f t="shared" si="0"/>
        <v>1.8583056889039974E-2</v>
      </c>
      <c r="L4" s="60">
        <f t="shared" si="0"/>
        <v>1.8583056889039974E-2</v>
      </c>
      <c r="M4" s="60">
        <f t="shared" si="0"/>
        <v>1.8583056889039974E-2</v>
      </c>
      <c r="N4" s="60">
        <f t="shared" si="0"/>
        <v>1.8583056889039974E-2</v>
      </c>
      <c r="O4" s="60">
        <f t="shared" si="0"/>
        <v>1.8583056889039974E-2</v>
      </c>
      <c r="P4" s="60">
        <f t="shared" si="0"/>
        <v>1.8583056889039974E-2</v>
      </c>
      <c r="Q4" s="60">
        <f t="shared" si="0"/>
        <v>1.8583056889039974E-2</v>
      </c>
      <c r="R4" s="60">
        <f t="shared" si="0"/>
        <v>1.8583056889039974E-2</v>
      </c>
      <c r="S4" s="60">
        <f t="shared" si="0"/>
        <v>1.8583056889039974E-2</v>
      </c>
      <c r="T4" s="60">
        <f t="shared" si="0"/>
        <v>1.8583056889039974E-2</v>
      </c>
      <c r="U4" s="60">
        <f t="shared" si="0"/>
        <v>1.8583056889039974E-2</v>
      </c>
      <c r="V4" s="60">
        <f t="shared" si="0"/>
        <v>1.8583056889039974E-2</v>
      </c>
      <c r="W4" s="60">
        <f t="shared" si="0"/>
        <v>1.8583056889039974E-2</v>
      </c>
      <c r="X4" s="15" t="s">
        <v>382</v>
      </c>
    </row>
    <row r="5" spans="1:24" x14ac:dyDescent="0.35">
      <c r="A5" s="17" t="s">
        <v>381</v>
      </c>
      <c r="D5" s="112">
        <v>1</v>
      </c>
      <c r="E5" s="232">
        <f>D5*(1+E4)</f>
        <v>1.0185830568890399</v>
      </c>
      <c r="F5" s="232">
        <f t="shared" ref="F5:W5" si="1">E5*(1+F4)</f>
        <v>1.0375114437814212</v>
      </c>
      <c r="G5" s="232">
        <f t="shared" si="1"/>
        <v>1.0567915779642414</v>
      </c>
      <c r="H5" s="232">
        <f t="shared" si="1"/>
        <v>1.0764299959774091</v>
      </c>
      <c r="I5" s="232">
        <f t="shared" si="1"/>
        <v>1.0964333558297263</v>
      </c>
      <c r="J5" s="232">
        <f t="shared" si="1"/>
        <v>1.116808439256151</v>
      </c>
      <c r="K5" s="232">
        <f t="shared" si="1"/>
        <v>1.137562154017008</v>
      </c>
      <c r="L5" s="232">
        <f t="shared" si="1"/>
        <v>1.1587015362399249</v>
      </c>
      <c r="M5" s="232">
        <f t="shared" si="1"/>
        <v>1.1802337528052893</v>
      </c>
      <c r="N5" s="232">
        <f t="shared" si="1"/>
        <v>1.2021661037760352</v>
      </c>
      <c r="O5" s="232">
        <f t="shared" si="1"/>
        <v>1.2245060248725808</v>
      </c>
      <c r="P5" s="232">
        <f t="shared" si="1"/>
        <v>1.2472610899937602</v>
      </c>
      <c r="Q5" s="232">
        <f t="shared" si="1"/>
        <v>1.2704390137846002</v>
      </c>
      <c r="R5" s="232">
        <f t="shared" si="1"/>
        <v>1.2940476542518153</v>
      </c>
      <c r="S5" s="232">
        <f t="shared" si="1"/>
        <v>1.3180950154279054</v>
      </c>
      <c r="T5" s="232">
        <f t="shared" si="1"/>
        <v>1.3425892500847623</v>
      </c>
      <c r="U5" s="232">
        <f t="shared" si="1"/>
        <v>1.3675386624977008</v>
      </c>
      <c r="V5" s="232">
        <f t="shared" si="1"/>
        <v>1.3929517112608572</v>
      </c>
      <c r="W5" s="232">
        <f t="shared" si="1"/>
        <v>1.4188370121549032</v>
      </c>
      <c r="X5" s="15" t="s">
        <v>383</v>
      </c>
    </row>
    <row r="7" spans="1:24" x14ac:dyDescent="0.35">
      <c r="A7" s="17" t="s">
        <v>258</v>
      </c>
      <c r="D7" s="60" cm="1">
        <f t="array" ref="D7:W7">inflation</f>
        <v>4.7E-2</v>
      </c>
      <c r="E7" s="60">
        <v>4.0999999999999995E-2</v>
      </c>
      <c r="F7" s="60">
        <v>3.3000000000000002E-2</v>
      </c>
      <c r="G7" s="60">
        <v>4.4999999999999998E-2</v>
      </c>
      <c r="H7" s="60">
        <v>6.9000000000000006E-2</v>
      </c>
      <c r="I7" s="60">
        <v>0.06</v>
      </c>
      <c r="J7" s="60">
        <v>0.05</v>
      </c>
      <c r="K7" s="60">
        <v>4.4999999999999998E-2</v>
      </c>
      <c r="L7" s="60">
        <v>4.4999999999999998E-2</v>
      </c>
      <c r="M7" s="60">
        <v>4.4999999999999998E-2</v>
      </c>
      <c r="N7" s="60">
        <v>4.4999999999999998E-2</v>
      </c>
      <c r="O7" s="60">
        <v>4.4999999999999998E-2</v>
      </c>
      <c r="P7" s="60">
        <v>4.4999999999999998E-2</v>
      </c>
      <c r="Q7" s="60">
        <v>4.4999999999999998E-2</v>
      </c>
      <c r="R7" s="60">
        <v>4.4999999999999998E-2</v>
      </c>
      <c r="S7" s="60">
        <v>4.4999999999999998E-2</v>
      </c>
      <c r="T7" s="60">
        <v>4.4999999999999998E-2</v>
      </c>
      <c r="U7" s="60">
        <v>4.4999999999999998E-2</v>
      </c>
      <c r="V7" s="60">
        <v>4.4999999999999998E-2</v>
      </c>
      <c r="W7" s="60">
        <v>4.4999999999999998E-2</v>
      </c>
      <c r="X7" s="15"/>
    </row>
    <row r="8" spans="1:24" x14ac:dyDescent="0.35">
      <c r="A8" s="17" t="s">
        <v>259</v>
      </c>
      <c r="D8" s="3">
        <v>1</v>
      </c>
      <c r="E8" s="235">
        <f t="shared" ref="E8:W8" si="2">D8*(1+E7)</f>
        <v>1.0409999999999999</v>
      </c>
      <c r="F8" s="235">
        <f t="shared" si="2"/>
        <v>1.0753529999999998</v>
      </c>
      <c r="G8" s="235">
        <f t="shared" si="2"/>
        <v>1.1237438849999997</v>
      </c>
      <c r="H8" s="235">
        <f t="shared" si="2"/>
        <v>1.2012822130649996</v>
      </c>
      <c r="I8" s="235">
        <f t="shared" si="2"/>
        <v>1.2733591458488998</v>
      </c>
      <c r="J8" s="235">
        <f t="shared" si="2"/>
        <v>1.3370271031413448</v>
      </c>
      <c r="K8" s="235">
        <f t="shared" si="2"/>
        <v>1.3971933227827051</v>
      </c>
      <c r="L8" s="235">
        <f t="shared" si="2"/>
        <v>1.4600670223079268</v>
      </c>
      <c r="M8" s="235">
        <f t="shared" si="2"/>
        <v>1.5257700383117834</v>
      </c>
      <c r="N8" s="235">
        <f t="shared" si="2"/>
        <v>1.5944296900358135</v>
      </c>
      <c r="O8" s="235">
        <f t="shared" si="2"/>
        <v>1.666179026087425</v>
      </c>
      <c r="P8" s="235">
        <f t="shared" si="2"/>
        <v>1.7411570822613589</v>
      </c>
      <c r="Q8" s="235">
        <f t="shared" si="2"/>
        <v>1.8195091509631198</v>
      </c>
      <c r="R8" s="235">
        <f t="shared" si="2"/>
        <v>1.9013870627564602</v>
      </c>
      <c r="S8" s="235">
        <f t="shared" si="2"/>
        <v>1.9869494805805008</v>
      </c>
      <c r="T8" s="235">
        <f t="shared" si="2"/>
        <v>2.076362207206623</v>
      </c>
      <c r="U8" s="235">
        <f t="shared" si="2"/>
        <v>2.1697985065309209</v>
      </c>
      <c r="V8" s="235">
        <f t="shared" si="2"/>
        <v>2.2674394393248121</v>
      </c>
      <c r="W8" s="235">
        <f t="shared" si="2"/>
        <v>2.3694742140944283</v>
      </c>
      <c r="X8" s="15" t="s">
        <v>384</v>
      </c>
    </row>
    <row r="10" spans="1:24" x14ac:dyDescent="0.35">
      <c r="A10" s="17" t="s">
        <v>441</v>
      </c>
      <c r="D10" s="60">
        <f>(1+D7)/(1+D4)-1</f>
        <v>2.7898503630868543E-2</v>
      </c>
      <c r="E10" s="60">
        <f t="shared" ref="E10:W10" si="3">(1+E7)/(1+E4)-1</f>
        <v>2.2007967793442385E-2</v>
      </c>
      <c r="F10" s="60">
        <f t="shared" si="3"/>
        <v>1.4153920010207433E-2</v>
      </c>
      <c r="G10" s="60">
        <f t="shared" si="3"/>
        <v>2.5934991685059749E-2</v>
      </c>
      <c r="H10" s="60">
        <f t="shared" si="3"/>
        <v>4.9497135034764383E-2</v>
      </c>
      <c r="I10" s="60">
        <f t="shared" si="3"/>
        <v>4.0661331278625257E-2</v>
      </c>
      <c r="J10" s="60">
        <f t="shared" si="3"/>
        <v>3.0843771549581733E-2</v>
      </c>
      <c r="K10" s="60">
        <f t="shared" si="3"/>
        <v>2.5934991685059749E-2</v>
      </c>
      <c r="L10" s="60">
        <f t="shared" si="3"/>
        <v>2.5934991685059749E-2</v>
      </c>
      <c r="M10" s="60">
        <f t="shared" si="3"/>
        <v>2.5934991685059749E-2</v>
      </c>
      <c r="N10" s="60">
        <f t="shared" si="3"/>
        <v>2.5934991685059749E-2</v>
      </c>
      <c r="O10" s="60">
        <f t="shared" si="3"/>
        <v>2.5934991685059749E-2</v>
      </c>
      <c r="P10" s="60">
        <f t="shared" si="3"/>
        <v>2.5934991685059749E-2</v>
      </c>
      <c r="Q10" s="60">
        <f t="shared" si="3"/>
        <v>2.5934991685059749E-2</v>
      </c>
      <c r="R10" s="60">
        <f t="shared" si="3"/>
        <v>2.5934991685059749E-2</v>
      </c>
      <c r="S10" s="60">
        <f t="shared" si="3"/>
        <v>2.5934991685059749E-2</v>
      </c>
      <c r="T10" s="60">
        <f t="shared" si="3"/>
        <v>2.5934991685059749E-2</v>
      </c>
      <c r="U10" s="60">
        <f t="shared" si="3"/>
        <v>2.5934991685059749E-2</v>
      </c>
      <c r="V10" s="60">
        <f t="shared" si="3"/>
        <v>2.5934991685059749E-2</v>
      </c>
      <c r="W10" s="60">
        <f t="shared" si="3"/>
        <v>2.5934991685059749E-2</v>
      </c>
    </row>
    <row r="11" spans="1:24" x14ac:dyDescent="0.35">
      <c r="A11" s="17" t="s">
        <v>442</v>
      </c>
      <c r="D11" s="239">
        <f>1+D10</f>
        <v>1.0278985036308685</v>
      </c>
      <c r="E11" s="239">
        <f>D11*(1+E10)</f>
        <v>1.0505204607937044</v>
      </c>
      <c r="F11" s="239">
        <f t="shared" ref="F11:W11" si="4">E11*(1+F10)</f>
        <v>1.0653894433648647</v>
      </c>
      <c r="G11" s="239">
        <f t="shared" si="4"/>
        <v>1.093020309719883</v>
      </c>
      <c r="H11" s="239">
        <f t="shared" si="4"/>
        <v>1.147121683585828</v>
      </c>
      <c r="I11" s="239">
        <f t="shared" si="4"/>
        <v>1.1937651783790058</v>
      </c>
      <c r="J11" s="239">
        <f t="shared" si="4"/>
        <v>1.2305853988247735</v>
      </c>
      <c r="K11" s="239">
        <f t="shared" si="4"/>
        <v>1.2625006209110499</v>
      </c>
      <c r="L11" s="239">
        <f t="shared" si="4"/>
        <v>1.2952435640167608</v>
      </c>
      <c r="M11" s="239">
        <f t="shared" si="4"/>
        <v>1.3288356950796627</v>
      </c>
      <c r="N11" s="239">
        <f t="shared" si="4"/>
        <v>1.3632990377823644</v>
      </c>
      <c r="O11" s="239">
        <f t="shared" si="4"/>
        <v>1.3986561869915</v>
      </c>
      <c r="P11" s="239">
        <f t="shared" si="4"/>
        <v>1.4349303235713819</v>
      </c>
      <c r="Q11" s="239">
        <f t="shared" si="4"/>
        <v>1.4721452295818458</v>
      </c>
      <c r="R11" s="239">
        <f t="shared" si="4"/>
        <v>1.5103253038702513</v>
      </c>
      <c r="S11" s="239">
        <f t="shared" si="4"/>
        <v>1.5494955780678616</v>
      </c>
      <c r="T11" s="239">
        <f t="shared" si="4"/>
        <v>1.5896817330010884</v>
      </c>
      <c r="U11" s="239">
        <f t="shared" si="4"/>
        <v>1.630910115528363</v>
      </c>
      <c r="V11" s="239">
        <f t="shared" si="4"/>
        <v>1.6732077558136709</v>
      </c>
      <c r="W11" s="239">
        <f t="shared" si="4"/>
        <v>1.7166023850480758</v>
      </c>
      <c r="X11" s="15" t="s">
        <v>443</v>
      </c>
    </row>
    <row r="13" spans="1:24" x14ac:dyDescent="0.35">
      <c r="A13" s="17" t="s">
        <v>260</v>
      </c>
      <c r="C13" s="8">
        <v>0.08</v>
      </c>
      <c r="D13" s="84" t="s">
        <v>429</v>
      </c>
    </row>
    <row r="15" spans="1:24" x14ac:dyDescent="0.35">
      <c r="A15" s="48" t="s">
        <v>261</v>
      </c>
      <c r="B15" s="49"/>
      <c r="C15" s="49"/>
      <c r="D15" s="49"/>
      <c r="E15" s="49"/>
      <c r="F15" s="49"/>
      <c r="G15" s="49"/>
      <c r="H15" s="49"/>
      <c r="I15" s="49"/>
      <c r="J15" s="49"/>
      <c r="K15" s="49"/>
      <c r="L15" s="49"/>
      <c r="M15" s="49"/>
      <c r="N15" s="49"/>
      <c r="O15" s="49"/>
      <c r="P15" s="49"/>
      <c r="Q15" s="49"/>
      <c r="R15" s="49"/>
      <c r="S15" s="49"/>
      <c r="T15" s="49"/>
      <c r="U15" s="49"/>
      <c r="V15" s="49"/>
      <c r="W15" s="49"/>
    </row>
    <row r="17" spans="1:24" x14ac:dyDescent="0.35">
      <c r="A17" s="29" t="s">
        <v>172</v>
      </c>
      <c r="B17" s="29" t="s">
        <v>22</v>
      </c>
      <c r="C17" s="196"/>
      <c r="D17" s="195" cm="1">
        <f t="array" ref="D17:W17">years</f>
        <v>2018</v>
      </c>
      <c r="E17" s="52">
        <v>2019</v>
      </c>
      <c r="F17" s="52">
        <v>2020</v>
      </c>
      <c r="G17" s="52">
        <v>2021</v>
      </c>
      <c r="H17" s="52">
        <v>2022</v>
      </c>
      <c r="I17" s="52">
        <v>2023</v>
      </c>
      <c r="J17" s="52">
        <v>2024</v>
      </c>
      <c r="K17" s="52">
        <v>2025</v>
      </c>
      <c r="L17" s="52">
        <v>2026</v>
      </c>
      <c r="M17" s="52">
        <v>2027</v>
      </c>
      <c r="N17" s="52">
        <v>2028</v>
      </c>
      <c r="O17" s="52">
        <v>2029</v>
      </c>
      <c r="P17" s="52">
        <v>2030</v>
      </c>
      <c r="Q17" s="52">
        <v>2031</v>
      </c>
      <c r="R17" s="52">
        <v>2032</v>
      </c>
      <c r="S17" s="52">
        <v>2033</v>
      </c>
      <c r="T17" s="52">
        <v>2034</v>
      </c>
      <c r="U17" s="52">
        <v>2035</v>
      </c>
      <c r="V17" s="52">
        <v>2036</v>
      </c>
      <c r="W17" s="52">
        <v>2037</v>
      </c>
    </row>
    <row r="18" spans="1:24" x14ac:dyDescent="0.35">
      <c r="A18" s="17" t="str" cm="1">
        <f t="array" ref="A18:A33">core_elements</f>
        <v>Application server hardware</v>
      </c>
      <c r="B18" s="17"/>
      <c r="C18" s="17"/>
      <c r="D18" s="169">
        <v>15071624.458001591</v>
      </c>
      <c r="E18" s="74">
        <f>$D18*E$5</f>
        <v>15351701.31271488</v>
      </c>
      <c r="F18" s="74">
        <f t="shared" ref="F18:L18" si="5">$D18*F$5</f>
        <v>15636982.851552611</v>
      </c>
      <c r="G18" s="74">
        <f t="shared" si="5"/>
        <v>15927565.793455957</v>
      </c>
      <c r="H18" s="74">
        <f t="shared" si="5"/>
        <v>16223548.654699674</v>
      </c>
      <c r="I18" s="74">
        <f t="shared" si="5"/>
        <v>16525031.782292064</v>
      </c>
      <c r="J18" s="74">
        <f t="shared" si="5"/>
        <v>16832117.38799559</v>
      </c>
      <c r="K18" s="74">
        <f t="shared" si="5"/>
        <v>17144909.582979713</v>
      </c>
      <c r="L18" s="74">
        <f t="shared" si="5"/>
        <v>17463514.41311767</v>
      </c>
      <c r="M18" s="74">
        <f t="shared" ref="F18:W32" si="6">$D18*M$5</f>
        <v>17788039.894939203</v>
      </c>
      <c r="N18" s="74">
        <f t="shared" si="6"/>
        <v>18118596.052251372</v>
      </c>
      <c r="O18" s="74">
        <f t="shared" si="6"/>
        <v>18455294.953439891</v>
      </c>
      <c r="P18" s="74">
        <f t="shared" si="6"/>
        <v>18798250.749463681</v>
      </c>
      <c r="Q18" s="74">
        <f t="shared" si="6"/>
        <v>19147579.712555401</v>
      </c>
      <c r="R18" s="74">
        <f t="shared" si="6"/>
        <v>19503400.275641248</v>
      </c>
      <c r="S18" s="74">
        <f t="shared" si="6"/>
        <v>19865833.072493203</v>
      </c>
      <c r="T18" s="74">
        <f t="shared" si="6"/>
        <v>20235000.978627518</v>
      </c>
      <c r="U18" s="74">
        <f t="shared" si="6"/>
        <v>20611029.152963132</v>
      </c>
      <c r="V18" s="74">
        <f t="shared" si="6"/>
        <v>20994045.080254305</v>
      </c>
      <c r="W18" s="74">
        <f t="shared" si="6"/>
        <v>21384178.61431174</v>
      </c>
    </row>
    <row r="19" spans="1:24" x14ac:dyDescent="0.35">
      <c r="A19" s="17" t="str">
        <v>Application server software</v>
      </c>
      <c r="B19" s="17"/>
      <c r="C19" s="17"/>
      <c r="D19" s="169">
        <v>0</v>
      </c>
      <c r="E19" s="74">
        <f t="shared" ref="E19:E33" si="7">$D19*E$5</f>
        <v>0</v>
      </c>
      <c r="F19" s="74">
        <f>$D19*F$5</f>
        <v>0</v>
      </c>
      <c r="G19" s="74">
        <f t="shared" si="6"/>
        <v>0</v>
      </c>
      <c r="H19" s="74">
        <f t="shared" si="6"/>
        <v>0</v>
      </c>
      <c r="I19" s="74">
        <f t="shared" si="6"/>
        <v>0</v>
      </c>
      <c r="J19" s="74">
        <f t="shared" si="6"/>
        <v>0</v>
      </c>
      <c r="K19" s="74">
        <f t="shared" si="6"/>
        <v>0</v>
      </c>
      <c r="L19" s="74">
        <f t="shared" si="6"/>
        <v>0</v>
      </c>
      <c r="M19" s="74">
        <f t="shared" si="6"/>
        <v>0</v>
      </c>
      <c r="N19" s="74">
        <f t="shared" si="6"/>
        <v>0</v>
      </c>
      <c r="O19" s="74">
        <f t="shared" si="6"/>
        <v>0</v>
      </c>
      <c r="P19" s="74">
        <f t="shared" si="6"/>
        <v>0</v>
      </c>
      <c r="Q19" s="74">
        <f t="shared" si="6"/>
        <v>0</v>
      </c>
      <c r="R19" s="74">
        <f t="shared" si="6"/>
        <v>0</v>
      </c>
      <c r="S19" s="74">
        <f t="shared" si="6"/>
        <v>0</v>
      </c>
      <c r="T19" s="74">
        <f t="shared" si="6"/>
        <v>0</v>
      </c>
      <c r="U19" s="74">
        <f t="shared" si="6"/>
        <v>0</v>
      </c>
      <c r="V19" s="74">
        <f t="shared" si="6"/>
        <v>0</v>
      </c>
      <c r="W19" s="74">
        <f t="shared" si="6"/>
        <v>0</v>
      </c>
    </row>
    <row r="20" spans="1:24" x14ac:dyDescent="0.35">
      <c r="A20" s="17" t="str">
        <v>Charging data function hardware</v>
      </c>
      <c r="B20" s="17"/>
      <c r="C20" s="17"/>
      <c r="D20" s="169">
        <v>1546375.5497471993</v>
      </c>
      <c r="E20" s="74">
        <f t="shared" si="7"/>
        <v>1575111.9345599718</v>
      </c>
      <c r="F20" s="74">
        <f t="shared" si="6"/>
        <v>1604382.3292465056</v>
      </c>
      <c r="G20" s="74">
        <f t="shared" si="6"/>
        <v>1634196.657342664</v>
      </c>
      <c r="H20" s="74">
        <f t="shared" si="6"/>
        <v>1664565.0267939414</v>
      </c>
      <c r="I20" s="74">
        <f t="shared" si="6"/>
        <v>1695497.7333823596</v>
      </c>
      <c r="J20" s="74">
        <f t="shared" si="6"/>
        <v>1727005.2642170421</v>
      </c>
      <c r="K20" s="74">
        <f t="shared" si="6"/>
        <v>1759098.301289659</v>
      </c>
      <c r="L20" s="74">
        <f t="shared" si="6"/>
        <v>1791787.7250959382</v>
      </c>
      <c r="M20" s="74">
        <f t="shared" si="6"/>
        <v>1825084.6183244793</v>
      </c>
      <c r="N20" s="74">
        <f t="shared" si="6"/>
        <v>1859000.2696141149</v>
      </c>
      <c r="O20" s="74">
        <f t="shared" si="6"/>
        <v>1893546.1773810948</v>
      </c>
      <c r="P20" s="74">
        <f t="shared" si="6"/>
        <v>1928734.0537173918</v>
      </c>
      <c r="Q20" s="74">
        <f t="shared" si="6"/>
        <v>1964575.8283614509</v>
      </c>
      <c r="R20" s="74">
        <f t="shared" si="6"/>
        <v>2001083.6527427246</v>
      </c>
      <c r="S20" s="74">
        <f t="shared" si="6"/>
        <v>2038269.9041013704</v>
      </c>
      <c r="T20" s="74">
        <f t="shared" si="6"/>
        <v>2076147.1896845042</v>
      </c>
      <c r="U20" s="74">
        <f t="shared" si="6"/>
        <v>2114728.3510204316</v>
      </c>
      <c r="V20" s="74">
        <f t="shared" si="6"/>
        <v>2154026.4682723098</v>
      </c>
      <c r="W20" s="74">
        <f t="shared" si="6"/>
        <v>2194054.8646727121</v>
      </c>
    </row>
    <row r="21" spans="1:24" x14ac:dyDescent="0.35">
      <c r="A21" s="17" t="str">
        <v>Charging data function software</v>
      </c>
      <c r="B21" s="17"/>
      <c r="C21" s="17"/>
      <c r="D21" s="169">
        <v>1841.3017527999991</v>
      </c>
      <c r="E21" s="74">
        <f t="shared" si="7"/>
        <v>1875.5187680221704</v>
      </c>
      <c r="F21" s="74">
        <f t="shared" si="6"/>
        <v>1910.3716399847888</v>
      </c>
      <c r="G21" s="74">
        <f t="shared" si="6"/>
        <v>1945.8721848498346</v>
      </c>
      <c r="H21" s="74">
        <f t="shared" si="6"/>
        <v>1982.0324383596994</v>
      </c>
      <c r="I21" s="74">
        <f t="shared" si="6"/>
        <v>2018.8646599176602</v>
      </c>
      <c r="J21" s="74">
        <f t="shared" si="6"/>
        <v>2056.3813367441821</v>
      </c>
      <c r="K21" s="74">
        <f t="shared" si="6"/>
        <v>2094.5951881104593</v>
      </c>
      <c r="L21" s="74">
        <f t="shared" si="6"/>
        <v>2133.5191696506254</v>
      </c>
      <c r="M21" s="74">
        <f t="shared" si="6"/>
        <v>2173.1664777541</v>
      </c>
      <c r="N21" s="74">
        <f t="shared" si="6"/>
        <v>2213.5505540395593</v>
      </c>
      <c r="O21" s="74">
        <f t="shared" si="6"/>
        <v>2254.6850899120423</v>
      </c>
      <c r="P21" s="74">
        <f t="shared" si="6"/>
        <v>2296.584031204748</v>
      </c>
      <c r="Q21" s="74">
        <f t="shared" si="6"/>
        <v>2339.2615829070864</v>
      </c>
      <c r="R21" s="74">
        <f t="shared" si="6"/>
        <v>2382.7322139805947</v>
      </c>
      <c r="S21" s="74">
        <f t="shared" si="6"/>
        <v>2427.0106622643443</v>
      </c>
      <c r="T21" s="74">
        <f t="shared" si="6"/>
        <v>2472.1119394715092</v>
      </c>
      <c r="U21" s="74">
        <f t="shared" si="6"/>
        <v>2518.0513362787829</v>
      </c>
      <c r="V21" s="74">
        <f t="shared" si="6"/>
        <v>2564.8444275103748</v>
      </c>
      <c r="W21" s="74">
        <f t="shared" si="6"/>
        <v>2612.5070774183368</v>
      </c>
    </row>
    <row r="22" spans="1:24" x14ac:dyDescent="0.35">
      <c r="A22" s="17" t="str">
        <v>Proxy - Call session control function hardware</v>
      </c>
      <c r="B22" s="200"/>
      <c r="C22" s="17"/>
      <c r="D22" s="169">
        <v>5242689.467679197</v>
      </c>
      <c r="E22" s="74">
        <f>$D22*E$5</f>
        <v>5340114.6643086504</v>
      </c>
      <c r="F22" s="74">
        <f t="shared" si="6"/>
        <v>5439350.3189094942</v>
      </c>
      <c r="G22" s="74">
        <f t="shared" si="6"/>
        <v>5540430.0753252069</v>
      </c>
      <c r="H22" s="74">
        <f t="shared" si="6"/>
        <v>5643388.2026047232</v>
      </c>
      <c r="I22" s="74">
        <f t="shared" si="6"/>
        <v>5748259.6066206638</v>
      </c>
      <c r="J22" s="74">
        <f t="shared" si="6"/>
        <v>5855079.8419034649</v>
      </c>
      <c r="K22" s="74">
        <f t="shared" si="6"/>
        <v>5963885.1236954285</v>
      </c>
      <c r="L22" s="74">
        <f t="shared" si="6"/>
        <v>6074712.3402287597</v>
      </c>
      <c r="M22" s="74">
        <f t="shared" si="6"/>
        <v>6187599.0652317833</v>
      </c>
      <c r="N22" s="74">
        <f t="shared" si="6"/>
        <v>6302583.5706675565</v>
      </c>
      <c r="O22" s="74">
        <f t="shared" si="6"/>
        <v>6419704.8397092</v>
      </c>
      <c r="P22" s="74">
        <f t="shared" si="6"/>
        <v>6539002.5799563611</v>
      </c>
      <c r="Q22" s="74">
        <f t="shared" si="6"/>
        <v>6660517.2368972693</v>
      </c>
      <c r="R22" s="74">
        <f t="shared" si="6"/>
        <v>6784290.0076209633</v>
      </c>
      <c r="S22" s="74">
        <f t="shared" si="6"/>
        <v>6910362.8547843285</v>
      </c>
      <c r="T22" s="74">
        <f t="shared" si="6"/>
        <v>7038778.5208386946</v>
      </c>
      <c r="U22" s="74">
        <f t="shared" si="6"/>
        <v>7169580.5425207922</v>
      </c>
      <c r="V22" s="74">
        <f t="shared" si="6"/>
        <v>7302813.2656130092</v>
      </c>
      <c r="W22" s="74">
        <f t="shared" si="6"/>
        <v>7438521.8599779317</v>
      </c>
    </row>
    <row r="23" spans="1:24" x14ac:dyDescent="0.35">
      <c r="A23" s="17" t="str">
        <v>Proxy - Call session control function software</v>
      </c>
      <c r="B23" s="200"/>
      <c r="C23" s="17"/>
      <c r="D23" s="169">
        <v>11922.097679999993</v>
      </c>
      <c r="E23" s="74">
        <f t="shared" si="7"/>
        <v>12143.646699424124</v>
      </c>
      <c r="F23" s="74">
        <f t="shared" si="6"/>
        <v>12369.312776879926</v>
      </c>
      <c r="G23" s="74">
        <f t="shared" si="6"/>
        <v>12599.172419891014</v>
      </c>
      <c r="H23" s="74">
        <f t="shared" si="6"/>
        <v>12833.30355772467</v>
      </c>
      <c r="I23" s="74">
        <f t="shared" si="6"/>
        <v>13071.785567812187</v>
      </c>
      <c r="J23" s="74">
        <f t="shared" si="6"/>
        <v>13314.699302660172</v>
      </c>
      <c r="K23" s="74">
        <f t="shared" si="6"/>
        <v>13562.127117261967</v>
      </c>
      <c r="L23" s="74">
        <f t="shared" si="6"/>
        <v>13814.152897018437</v>
      </c>
      <c r="M23" s="74">
        <f t="shared" si="6"/>
        <v>14070.862086177625</v>
      </c>
      <c r="N23" s="74">
        <f t="shared" si="6"/>
        <v>14332.341716802901</v>
      </c>
      <c r="O23" s="74">
        <f t="shared" si="6"/>
        <v>14598.680438279409</v>
      </c>
      <c r="P23" s="74">
        <f t="shared" si="6"/>
        <v>14869.968547368871</v>
      </c>
      <c r="Q23" s="74">
        <f t="shared" si="6"/>
        <v>15146.298018822861</v>
      </c>
      <c r="R23" s="74">
        <f t="shared" si="6"/>
        <v>15427.762536565002</v>
      </c>
      <c r="S23" s="74">
        <f t="shared" si="6"/>
        <v>15714.457525452586</v>
      </c>
      <c r="T23" s="74">
        <f t="shared" si="6"/>
        <v>16006.480183628475</v>
      </c>
      <c r="U23" s="74">
        <f t="shared" si="6"/>
        <v>16303.929515474134</v>
      </c>
      <c r="V23" s="74">
        <f t="shared" si="6"/>
        <v>16606.906365175088</v>
      </c>
      <c r="W23" s="74">
        <f t="shared" si="6"/>
        <v>16915.513450910094</v>
      </c>
    </row>
    <row r="24" spans="1:24" x14ac:dyDescent="0.35">
      <c r="A24" s="17" t="str">
        <v>Interrogating - Call session control function hardware</v>
      </c>
      <c r="B24" s="17"/>
      <c r="C24" s="17"/>
      <c r="D24" s="169">
        <v>0</v>
      </c>
      <c r="E24" s="74">
        <f t="shared" si="7"/>
        <v>0</v>
      </c>
      <c r="F24" s="74">
        <f t="shared" si="6"/>
        <v>0</v>
      </c>
      <c r="G24" s="74">
        <f t="shared" si="6"/>
        <v>0</v>
      </c>
      <c r="H24" s="74">
        <f t="shared" si="6"/>
        <v>0</v>
      </c>
      <c r="I24" s="74">
        <f t="shared" si="6"/>
        <v>0</v>
      </c>
      <c r="J24" s="74">
        <f t="shared" si="6"/>
        <v>0</v>
      </c>
      <c r="K24" s="74">
        <f t="shared" si="6"/>
        <v>0</v>
      </c>
      <c r="L24" s="74">
        <f t="shared" si="6"/>
        <v>0</v>
      </c>
      <c r="M24" s="74">
        <f t="shared" si="6"/>
        <v>0</v>
      </c>
      <c r="N24" s="74">
        <f t="shared" si="6"/>
        <v>0</v>
      </c>
      <c r="O24" s="74">
        <f t="shared" si="6"/>
        <v>0</v>
      </c>
      <c r="P24" s="74">
        <f t="shared" si="6"/>
        <v>0</v>
      </c>
      <c r="Q24" s="74">
        <f t="shared" si="6"/>
        <v>0</v>
      </c>
      <c r="R24" s="74">
        <f t="shared" si="6"/>
        <v>0</v>
      </c>
      <c r="S24" s="74">
        <f t="shared" si="6"/>
        <v>0</v>
      </c>
      <c r="T24" s="74">
        <f t="shared" si="6"/>
        <v>0</v>
      </c>
      <c r="U24" s="74">
        <f t="shared" si="6"/>
        <v>0</v>
      </c>
      <c r="V24" s="74">
        <f t="shared" si="6"/>
        <v>0</v>
      </c>
      <c r="W24" s="74">
        <f t="shared" si="6"/>
        <v>0</v>
      </c>
    </row>
    <row r="25" spans="1:24" x14ac:dyDescent="0.35">
      <c r="A25" s="17" t="str">
        <v>Interrogating - Call session control function software</v>
      </c>
      <c r="B25" s="17"/>
      <c r="C25" s="17"/>
      <c r="D25" s="169">
        <v>2384.4195359999985</v>
      </c>
      <c r="E25" s="74">
        <f t="shared" si="7"/>
        <v>2428.7293398848246</v>
      </c>
      <c r="F25" s="74">
        <f t="shared" si="6"/>
        <v>2473.8625553759848</v>
      </c>
      <c r="G25" s="74">
        <f t="shared" si="6"/>
        <v>2519.8344839782026</v>
      </c>
      <c r="H25" s="74">
        <f t="shared" si="6"/>
        <v>2566.6607115449342</v>
      </c>
      <c r="I25" s="74">
        <f t="shared" si="6"/>
        <v>2614.3571135624375</v>
      </c>
      <c r="J25" s="74">
        <f t="shared" si="6"/>
        <v>2662.9398605320343</v>
      </c>
      <c r="K25" s="74">
        <f t="shared" si="6"/>
        <v>2712.4254234523933</v>
      </c>
      <c r="L25" s="74">
        <f t="shared" si="6"/>
        <v>2762.8305794036874</v>
      </c>
      <c r="M25" s="74">
        <f t="shared" si="6"/>
        <v>2814.1724172355248</v>
      </c>
      <c r="N25" s="74">
        <f t="shared" si="6"/>
        <v>2866.4683433605796</v>
      </c>
      <c r="O25" s="74">
        <f t="shared" si="6"/>
        <v>2919.7360876558819</v>
      </c>
      <c r="P25" s="74">
        <f t="shared" si="6"/>
        <v>2973.9937094737738</v>
      </c>
      <c r="Q25" s="74">
        <f t="shared" si="6"/>
        <v>3029.2596037645721</v>
      </c>
      <c r="R25" s="74">
        <f t="shared" si="6"/>
        <v>3085.5525073130002</v>
      </c>
      <c r="S25" s="74">
        <f t="shared" si="6"/>
        <v>3142.8915050905171</v>
      </c>
      <c r="T25" s="74">
        <f t="shared" si="6"/>
        <v>3201.2960367256946</v>
      </c>
      <c r="U25" s="74">
        <f t="shared" si="6"/>
        <v>3260.7859030948266</v>
      </c>
      <c r="V25" s="74">
        <f t="shared" si="6"/>
        <v>3321.3812730350169</v>
      </c>
      <c r="W25" s="74">
        <f t="shared" si="6"/>
        <v>3383.1026901820187</v>
      </c>
    </row>
    <row r="26" spans="1:24" x14ac:dyDescent="0.35">
      <c r="A26" s="17" t="str">
        <v>Serving - Call session control function hardware</v>
      </c>
      <c r="B26" s="17"/>
      <c r="C26" s="17"/>
      <c r="D26" s="169">
        <v>0</v>
      </c>
      <c r="E26" s="74">
        <f t="shared" si="7"/>
        <v>0</v>
      </c>
      <c r="F26" s="74">
        <f t="shared" si="6"/>
        <v>0</v>
      </c>
      <c r="G26" s="74">
        <f t="shared" si="6"/>
        <v>0</v>
      </c>
      <c r="H26" s="74">
        <f t="shared" si="6"/>
        <v>0</v>
      </c>
      <c r="I26" s="74">
        <f t="shared" si="6"/>
        <v>0</v>
      </c>
      <c r="J26" s="74">
        <f t="shared" si="6"/>
        <v>0</v>
      </c>
      <c r="K26" s="74">
        <f t="shared" si="6"/>
        <v>0</v>
      </c>
      <c r="L26" s="74">
        <f t="shared" si="6"/>
        <v>0</v>
      </c>
      <c r="M26" s="74">
        <f t="shared" si="6"/>
        <v>0</v>
      </c>
      <c r="N26" s="74">
        <f t="shared" si="6"/>
        <v>0</v>
      </c>
      <c r="O26" s="74">
        <f t="shared" si="6"/>
        <v>0</v>
      </c>
      <c r="P26" s="74">
        <f t="shared" si="6"/>
        <v>0</v>
      </c>
      <c r="Q26" s="74">
        <f t="shared" si="6"/>
        <v>0</v>
      </c>
      <c r="R26" s="74">
        <f t="shared" si="6"/>
        <v>0</v>
      </c>
      <c r="S26" s="74">
        <f t="shared" si="6"/>
        <v>0</v>
      </c>
      <c r="T26" s="74">
        <f t="shared" si="6"/>
        <v>0</v>
      </c>
      <c r="U26" s="74">
        <f t="shared" si="6"/>
        <v>0</v>
      </c>
      <c r="V26" s="74">
        <f t="shared" si="6"/>
        <v>0</v>
      </c>
      <c r="W26" s="74">
        <f t="shared" si="6"/>
        <v>0</v>
      </c>
    </row>
    <row r="27" spans="1:24" x14ac:dyDescent="0.35">
      <c r="A27" s="17" t="str">
        <v>Serving - Call session control function software</v>
      </c>
      <c r="B27" s="17"/>
      <c r="C27" s="17"/>
      <c r="D27" s="169">
        <v>11922.097679999993</v>
      </c>
      <c r="E27" s="74">
        <f t="shared" si="7"/>
        <v>12143.646699424124</v>
      </c>
      <c r="F27" s="74">
        <f t="shared" si="6"/>
        <v>12369.312776879926</v>
      </c>
      <c r="G27" s="74">
        <f t="shared" si="6"/>
        <v>12599.172419891014</v>
      </c>
      <c r="H27" s="74">
        <f t="shared" si="6"/>
        <v>12833.30355772467</v>
      </c>
      <c r="I27" s="74">
        <f t="shared" si="6"/>
        <v>13071.785567812187</v>
      </c>
      <c r="J27" s="74">
        <f t="shared" si="6"/>
        <v>13314.699302660172</v>
      </c>
      <c r="K27" s="74">
        <f t="shared" si="6"/>
        <v>13562.127117261967</v>
      </c>
      <c r="L27" s="74">
        <f t="shared" si="6"/>
        <v>13814.152897018437</v>
      </c>
      <c r="M27" s="74">
        <f t="shared" si="6"/>
        <v>14070.862086177625</v>
      </c>
      <c r="N27" s="74">
        <f t="shared" si="6"/>
        <v>14332.341716802901</v>
      </c>
      <c r="O27" s="74">
        <f t="shared" si="6"/>
        <v>14598.680438279409</v>
      </c>
      <c r="P27" s="74">
        <f t="shared" si="6"/>
        <v>14869.968547368871</v>
      </c>
      <c r="Q27" s="74">
        <f t="shared" si="6"/>
        <v>15146.298018822861</v>
      </c>
      <c r="R27" s="74">
        <f t="shared" si="6"/>
        <v>15427.762536565002</v>
      </c>
      <c r="S27" s="74">
        <f t="shared" si="6"/>
        <v>15714.457525452586</v>
      </c>
      <c r="T27" s="74">
        <f t="shared" si="6"/>
        <v>16006.480183628475</v>
      </c>
      <c r="U27" s="74">
        <f t="shared" si="6"/>
        <v>16303.929515474134</v>
      </c>
      <c r="V27" s="74">
        <f t="shared" si="6"/>
        <v>16606.906365175088</v>
      </c>
      <c r="W27" s="74">
        <f t="shared" si="6"/>
        <v>16915.513450910094</v>
      </c>
    </row>
    <row r="28" spans="1:24" x14ac:dyDescent="0.35">
      <c r="A28" s="17" t="str">
        <v>Media resource function - hardware</v>
      </c>
      <c r="B28" s="17"/>
      <c r="C28" s="17"/>
      <c r="D28" s="169">
        <v>1192209.7679999995</v>
      </c>
      <c r="E28" s="74">
        <f t="shared" si="7"/>
        <v>1214364.6699424125</v>
      </c>
      <c r="F28" s="74">
        <f t="shared" si="6"/>
        <v>1236931.2776879927</v>
      </c>
      <c r="G28" s="74">
        <f t="shared" si="6"/>
        <v>1259917.2419891015</v>
      </c>
      <c r="H28" s="74">
        <f t="shared" si="6"/>
        <v>1283330.3557724673</v>
      </c>
      <c r="I28" s="74">
        <f t="shared" si="6"/>
        <v>1307178.5567812189</v>
      </c>
      <c r="J28" s="74">
        <f t="shared" si="6"/>
        <v>1331469.9302660173</v>
      </c>
      <c r="K28" s="74">
        <f t="shared" si="6"/>
        <v>1356212.7117261968</v>
      </c>
      <c r="L28" s="74">
        <f t="shared" si="6"/>
        <v>1381415.2897018439</v>
      </c>
      <c r="M28" s="74">
        <f t="shared" si="6"/>
        <v>1407086.2086177627</v>
      </c>
      <c r="N28" s="74">
        <f t="shared" si="6"/>
        <v>1433234.1716802903</v>
      </c>
      <c r="O28" s="74">
        <f t="shared" si="6"/>
        <v>1459868.0438279412</v>
      </c>
      <c r="P28" s="74">
        <f t="shared" si="6"/>
        <v>1486996.8547368872</v>
      </c>
      <c r="Q28" s="74">
        <f t="shared" si="6"/>
        <v>1514629.8018822863</v>
      </c>
      <c r="R28" s="74">
        <f t="shared" si="6"/>
        <v>1542776.2536565003</v>
      </c>
      <c r="S28" s="74">
        <f t="shared" si="6"/>
        <v>1571445.7525452587</v>
      </c>
      <c r="T28" s="74">
        <f t="shared" si="6"/>
        <v>1600648.0183628476</v>
      </c>
      <c r="U28" s="74">
        <f t="shared" si="6"/>
        <v>1630392.9515474134</v>
      </c>
      <c r="V28" s="74">
        <f t="shared" si="6"/>
        <v>1660690.6365175087</v>
      </c>
      <c r="W28" s="74">
        <f t="shared" si="6"/>
        <v>1691551.3450910095</v>
      </c>
    </row>
    <row r="29" spans="1:24" x14ac:dyDescent="0.35">
      <c r="A29" s="17" t="str">
        <v>Media resource function - software</v>
      </c>
      <c r="B29" s="17"/>
      <c r="C29" s="17"/>
      <c r="D29" s="169">
        <v>198.70162799999989</v>
      </c>
      <c r="E29" s="74">
        <f t="shared" si="7"/>
        <v>202.39411165706875</v>
      </c>
      <c r="F29" s="74">
        <f t="shared" si="6"/>
        <v>206.15521294799876</v>
      </c>
      <c r="G29" s="74">
        <f t="shared" si="6"/>
        <v>209.98620699818358</v>
      </c>
      <c r="H29" s="74">
        <f t="shared" si="6"/>
        <v>213.8883926287445</v>
      </c>
      <c r="I29" s="74">
        <f t="shared" si="6"/>
        <v>217.86309279686978</v>
      </c>
      <c r="J29" s="74">
        <f t="shared" si="6"/>
        <v>221.91165504433619</v>
      </c>
      <c r="K29" s="74">
        <f t="shared" si="6"/>
        <v>226.0354519543661</v>
      </c>
      <c r="L29" s="74">
        <f t="shared" si="6"/>
        <v>230.23588161697396</v>
      </c>
      <c r="M29" s="74">
        <f t="shared" si="6"/>
        <v>234.51436810296042</v>
      </c>
      <c r="N29" s="74">
        <f t="shared" si="6"/>
        <v>238.87236194671499</v>
      </c>
      <c r="O29" s="74">
        <f t="shared" si="6"/>
        <v>243.31134063799016</v>
      </c>
      <c r="P29" s="74">
        <f t="shared" si="6"/>
        <v>247.83280912281452</v>
      </c>
      <c r="Q29" s="74">
        <f t="shared" si="6"/>
        <v>252.43830031371436</v>
      </c>
      <c r="R29" s="74">
        <f t="shared" si="6"/>
        <v>257.12937560941668</v>
      </c>
      <c r="S29" s="74">
        <f t="shared" si="6"/>
        <v>261.90762542420975</v>
      </c>
      <c r="T29" s="74">
        <f t="shared" si="6"/>
        <v>266.77466972714126</v>
      </c>
      <c r="U29" s="74">
        <f t="shared" si="6"/>
        <v>271.73215859123553</v>
      </c>
      <c r="V29" s="74">
        <f t="shared" si="6"/>
        <v>276.78177275291807</v>
      </c>
      <c r="W29" s="74">
        <f t="shared" si="6"/>
        <v>281.92522418183489</v>
      </c>
      <c r="X29" s="15"/>
    </row>
    <row r="30" spans="1:24" x14ac:dyDescent="0.35">
      <c r="A30" s="17" t="str">
        <v>Access session border controller - hardware</v>
      </c>
      <c r="B30" s="17"/>
      <c r="C30" s="17"/>
      <c r="D30" s="169">
        <v>1823676</v>
      </c>
      <c r="E30" s="74">
        <f t="shared" si="7"/>
        <v>1857565.4748551769</v>
      </c>
      <c r="F30" s="74">
        <f t="shared" si="6"/>
        <v>1892084.7197495271</v>
      </c>
      <c r="G30" s="74">
        <f t="shared" si="6"/>
        <v>1927245.4377355159</v>
      </c>
      <c r="H30" s="74">
        <f t="shared" si="6"/>
        <v>1963059.5493440975</v>
      </c>
      <c r="I30" s="74">
        <f t="shared" si="6"/>
        <v>1999539.1966261321</v>
      </c>
      <c r="J30" s="74">
        <f t="shared" si="6"/>
        <v>2036696.7472689005</v>
      </c>
      <c r="K30" s="74">
        <f t="shared" si="6"/>
        <v>2074544.798789121</v>
      </c>
      <c r="L30" s="74">
        <f t="shared" si="6"/>
        <v>2113096.1828038814</v>
      </c>
      <c r="M30" s="74">
        <f t="shared" si="6"/>
        <v>2152363.9693809389</v>
      </c>
      <c r="N30" s="74">
        <f t="shared" si="6"/>
        <v>2192361.4714698647</v>
      </c>
      <c r="O30" s="74">
        <f t="shared" si="6"/>
        <v>2233102.2494155285</v>
      </c>
      <c r="P30" s="74">
        <f t="shared" si="6"/>
        <v>2274600.1155554606</v>
      </c>
      <c r="Q30" s="74">
        <f t="shared" si="6"/>
        <v>2316869.1389026446</v>
      </c>
      <c r="R30" s="74">
        <f t="shared" si="6"/>
        <v>2359923.6499153334</v>
      </c>
      <c r="S30" s="74">
        <f t="shared" si="6"/>
        <v>2403778.2453555008</v>
      </c>
      <c r="T30" s="74">
        <f t="shared" si="6"/>
        <v>2448447.7932375791</v>
      </c>
      <c r="U30" s="74">
        <f t="shared" si="6"/>
        <v>2493947.4378691572</v>
      </c>
      <c r="V30" s="74">
        <f t="shared" si="6"/>
        <v>2540292.6049853549</v>
      </c>
      <c r="W30" s="74">
        <f t="shared" si="6"/>
        <v>2587499.0069786054</v>
      </c>
      <c r="X30" s="15"/>
    </row>
    <row r="31" spans="1:24" x14ac:dyDescent="0.35">
      <c r="A31" s="17" t="str">
        <v>Access session border controller - software</v>
      </c>
      <c r="B31" s="17"/>
      <c r="C31" s="17"/>
      <c r="D31" s="169">
        <v>3010176</v>
      </c>
      <c r="E31" s="74">
        <f t="shared" si="7"/>
        <v>3066114.2718540225</v>
      </c>
      <c r="F31" s="74">
        <f t="shared" si="6"/>
        <v>3123092.0477961833</v>
      </c>
      <c r="G31" s="74">
        <f t="shared" si="6"/>
        <v>3181128.6449900884</v>
      </c>
      <c r="H31" s="74">
        <f t="shared" si="6"/>
        <v>3240243.7395712934</v>
      </c>
      <c r="I31" s="74">
        <f t="shared" si="6"/>
        <v>3300457.3733181022</v>
      </c>
      <c r="J31" s="74">
        <f t="shared" si="6"/>
        <v>3361789.9604463237</v>
      </c>
      <c r="K31" s="74">
        <f t="shared" si="6"/>
        <v>3424262.2945303009</v>
      </c>
      <c r="L31" s="74">
        <f t="shared" si="6"/>
        <v>3487895.555552552</v>
      </c>
      <c r="M31" s="74">
        <f t="shared" si="6"/>
        <v>3552711.3170844144</v>
      </c>
      <c r="N31" s="74">
        <f t="shared" si="6"/>
        <v>3618731.5536001306</v>
      </c>
      <c r="O31" s="74">
        <f t="shared" si="6"/>
        <v>3685978.6479268456</v>
      </c>
      <c r="P31" s="74">
        <f t="shared" si="6"/>
        <v>3754475.3988330569</v>
      </c>
      <c r="Q31" s="74">
        <f t="shared" si="6"/>
        <v>3824245.0287580728</v>
      </c>
      <c r="R31" s="74">
        <f t="shared" si="6"/>
        <v>3895311.1916851127</v>
      </c>
      <c r="S31" s="74">
        <f t="shared" si="6"/>
        <v>3967697.9811607106</v>
      </c>
      <c r="T31" s="74">
        <f t="shared" si="6"/>
        <v>4041429.9384631491</v>
      </c>
      <c r="U31" s="74">
        <f t="shared" si="6"/>
        <v>4116532.060922679</v>
      </c>
      <c r="V31" s="74">
        <f t="shared" si="6"/>
        <v>4193029.8103963621</v>
      </c>
      <c r="W31" s="74">
        <f t="shared" si="6"/>
        <v>4270949.1219003983</v>
      </c>
      <c r="X31" s="15"/>
    </row>
    <row r="32" spans="1:24" x14ac:dyDescent="0.35">
      <c r="A32" s="17" t="str">
        <v>Internet exchange point session border controller - hardware</v>
      </c>
      <c r="B32" s="17"/>
      <c r="C32" s="17"/>
      <c r="D32" s="169">
        <v>1823676</v>
      </c>
      <c r="E32" s="74">
        <f t="shared" si="7"/>
        <v>1857565.4748551769</v>
      </c>
      <c r="F32" s="74">
        <f t="shared" si="6"/>
        <v>1892084.7197495271</v>
      </c>
      <c r="G32" s="74">
        <f t="shared" si="6"/>
        <v>1927245.4377355159</v>
      </c>
      <c r="H32" s="74">
        <f t="shared" si="6"/>
        <v>1963059.5493440975</v>
      </c>
      <c r="I32" s="74">
        <f t="shared" ref="I32:W33" si="8">$D32*I$5</f>
        <v>1999539.1966261321</v>
      </c>
      <c r="J32" s="74">
        <f t="shared" si="8"/>
        <v>2036696.7472689005</v>
      </c>
      <c r="K32" s="74">
        <f t="shared" si="8"/>
        <v>2074544.798789121</v>
      </c>
      <c r="L32" s="74">
        <f t="shared" si="8"/>
        <v>2113096.1828038814</v>
      </c>
      <c r="M32" s="74">
        <f t="shared" si="8"/>
        <v>2152363.9693809389</v>
      </c>
      <c r="N32" s="74">
        <f t="shared" si="8"/>
        <v>2192361.4714698647</v>
      </c>
      <c r="O32" s="74">
        <f t="shared" si="8"/>
        <v>2233102.2494155285</v>
      </c>
      <c r="P32" s="74">
        <f t="shared" si="8"/>
        <v>2274600.1155554606</v>
      </c>
      <c r="Q32" s="74">
        <f t="shared" si="8"/>
        <v>2316869.1389026446</v>
      </c>
      <c r="R32" s="74">
        <f t="shared" si="8"/>
        <v>2359923.6499153334</v>
      </c>
      <c r="S32" s="74">
        <f t="shared" si="8"/>
        <v>2403778.2453555008</v>
      </c>
      <c r="T32" s="74">
        <f t="shared" si="8"/>
        <v>2448447.7932375791</v>
      </c>
      <c r="U32" s="74">
        <f t="shared" si="8"/>
        <v>2493947.4378691572</v>
      </c>
      <c r="V32" s="74">
        <f t="shared" si="8"/>
        <v>2540292.6049853549</v>
      </c>
      <c r="W32" s="74">
        <f t="shared" si="8"/>
        <v>2587499.0069786054</v>
      </c>
    </row>
    <row r="33" spans="1:24" x14ac:dyDescent="0.35">
      <c r="A33" s="17" t="str">
        <v>Internet exchange point session border controller - software</v>
      </c>
      <c r="B33" s="17"/>
      <c r="C33" s="17"/>
      <c r="D33" s="169">
        <v>3010176</v>
      </c>
      <c r="E33" s="74">
        <f t="shared" si="7"/>
        <v>3066114.2718540225</v>
      </c>
      <c r="F33" s="74">
        <f t="shared" ref="F33:H33" si="9">$D33*F$5</f>
        <v>3123092.0477961833</v>
      </c>
      <c r="G33" s="74">
        <f t="shared" si="9"/>
        <v>3181128.6449900884</v>
      </c>
      <c r="H33" s="74">
        <f t="shared" si="9"/>
        <v>3240243.7395712934</v>
      </c>
      <c r="I33" s="74">
        <f t="shared" si="8"/>
        <v>3300457.3733181022</v>
      </c>
      <c r="J33" s="74">
        <f t="shared" si="8"/>
        <v>3361789.9604463237</v>
      </c>
      <c r="K33" s="74">
        <f t="shared" si="8"/>
        <v>3424262.2945303009</v>
      </c>
      <c r="L33" s="74">
        <f t="shared" si="8"/>
        <v>3487895.555552552</v>
      </c>
      <c r="M33" s="74">
        <f t="shared" si="8"/>
        <v>3552711.3170844144</v>
      </c>
      <c r="N33" s="74">
        <f t="shared" si="8"/>
        <v>3618731.5536001306</v>
      </c>
      <c r="O33" s="74">
        <f t="shared" si="8"/>
        <v>3685978.6479268456</v>
      </c>
      <c r="P33" s="74">
        <f t="shared" si="8"/>
        <v>3754475.3988330569</v>
      </c>
      <c r="Q33" s="74">
        <f t="shared" si="8"/>
        <v>3824245.0287580728</v>
      </c>
      <c r="R33" s="74">
        <f t="shared" si="8"/>
        <v>3895311.1916851127</v>
      </c>
      <c r="S33" s="74">
        <f t="shared" si="8"/>
        <v>3967697.9811607106</v>
      </c>
      <c r="T33" s="74">
        <f t="shared" si="8"/>
        <v>4041429.9384631491</v>
      </c>
      <c r="U33" s="74">
        <f t="shared" si="8"/>
        <v>4116532.060922679</v>
      </c>
      <c r="V33" s="74">
        <f t="shared" si="8"/>
        <v>4193029.8103963621</v>
      </c>
      <c r="W33" s="74">
        <f t="shared" si="8"/>
        <v>4270949.1219003983</v>
      </c>
      <c r="X33" s="6" t="s">
        <v>262</v>
      </c>
    </row>
    <row r="34" spans="1:24" x14ac:dyDescent="0.35">
      <c r="D34" s="84"/>
      <c r="E34" s="23"/>
    </row>
    <row r="35" spans="1:24" x14ac:dyDescent="0.35">
      <c r="A35" s="14" t="s">
        <v>391</v>
      </c>
      <c r="B35" s="17"/>
      <c r="C35" s="17"/>
      <c r="D35" s="16">
        <f>SUM(D18:D33)</f>
        <v>32748871.861704782</v>
      </c>
      <c r="E35" s="16">
        <f t="shared" ref="E35:W35" si="10">SUM(E18:E33)</f>
        <v>33357446.010562725</v>
      </c>
      <c r="F35" s="16">
        <f t="shared" si="10"/>
        <v>33977329.327450089</v>
      </c>
      <c r="G35" s="16">
        <f t="shared" si="10"/>
        <v>34608731.971279748</v>
      </c>
      <c r="H35" s="16">
        <f t="shared" si="10"/>
        <v>35251868.006359562</v>
      </c>
      <c r="I35" s="16">
        <f t="shared" si="10"/>
        <v>35906955.474966668</v>
      </c>
      <c r="J35" s="16">
        <f t="shared" si="10"/>
        <v>36574216.471270196</v>
      </c>
      <c r="K35" s="16">
        <f t="shared" si="10"/>
        <v>37253877.216627881</v>
      </c>
      <c r="L35" s="16">
        <f t="shared" si="10"/>
        <v>37946168.136281788</v>
      </c>
      <c r="M35" s="16">
        <f t="shared" si="10"/>
        <v>38651323.937479377</v>
      </c>
      <c r="N35" s="16">
        <f t="shared" si="10"/>
        <v>39369583.689046286</v>
      </c>
      <c r="O35" s="16">
        <f t="shared" si="10"/>
        <v>40101190.902437642</v>
      </c>
      <c r="P35" s="16">
        <f t="shared" si="10"/>
        <v>40846393.6142959</v>
      </c>
      <c r="Q35" s="16">
        <f t="shared" si="10"/>
        <v>41605444.470542476</v>
      </c>
      <c r="R35" s="16">
        <f t="shared" si="10"/>
        <v>42378600.812032364</v>
      </c>
      <c r="S35" s="16">
        <f t="shared" si="10"/>
        <v>43166124.761800267</v>
      </c>
      <c r="T35" s="16">
        <f t="shared" si="10"/>
        <v>43968283.313928202</v>
      </c>
      <c r="U35" s="16">
        <f t="shared" si="10"/>
        <v>44785348.424064353</v>
      </c>
      <c r="V35" s="16">
        <f t="shared" si="10"/>
        <v>45617597.101624206</v>
      </c>
      <c r="W35" s="16">
        <f t="shared" si="10"/>
        <v>46465311.50370501</v>
      </c>
      <c r="X35" s="15" t="s">
        <v>393</v>
      </c>
    </row>
    <row r="36" spans="1:24" x14ac:dyDescent="0.35">
      <c r="D36" s="84"/>
      <c r="E36" s="23"/>
    </row>
    <row r="37" spans="1:24" x14ac:dyDescent="0.35">
      <c r="C37"/>
    </row>
    <row r="38" spans="1:24" x14ac:dyDescent="0.35">
      <c r="A38" s="48" t="s">
        <v>263</v>
      </c>
      <c r="B38" s="49"/>
      <c r="C38" s="49"/>
      <c r="D38" s="49"/>
      <c r="E38" s="49"/>
      <c r="F38" s="49"/>
      <c r="G38" s="49"/>
      <c r="H38" s="49"/>
      <c r="I38" s="49"/>
      <c r="J38" s="49"/>
      <c r="K38" s="49"/>
      <c r="L38" s="49"/>
      <c r="M38" s="49"/>
      <c r="N38" s="49"/>
      <c r="O38" s="49"/>
      <c r="P38" s="49"/>
      <c r="Q38" s="49"/>
      <c r="R38" s="49"/>
      <c r="S38" s="49"/>
      <c r="T38" s="49"/>
      <c r="U38" s="49"/>
      <c r="V38" s="49"/>
      <c r="W38" s="49"/>
    </row>
    <row r="40" spans="1:24" x14ac:dyDescent="0.35">
      <c r="A40" s="196"/>
      <c r="B40" s="197"/>
      <c r="C40" s="196"/>
      <c r="D40" s="52" cm="1">
        <f t="array" ref="D40:W40">years</f>
        <v>2018</v>
      </c>
      <c r="E40" s="52">
        <v>2019</v>
      </c>
      <c r="F40" s="52">
        <v>2020</v>
      </c>
      <c r="G40" s="52">
        <v>2021</v>
      </c>
      <c r="H40" s="52">
        <v>2022</v>
      </c>
      <c r="I40" s="52">
        <v>2023</v>
      </c>
      <c r="J40" s="52">
        <v>2024</v>
      </c>
      <c r="K40" s="52">
        <v>2025</v>
      </c>
      <c r="L40" s="52">
        <v>2026</v>
      </c>
      <c r="M40" s="52">
        <v>2027</v>
      </c>
      <c r="N40" s="52">
        <v>2028</v>
      </c>
      <c r="O40" s="52">
        <v>2029</v>
      </c>
      <c r="P40" s="52">
        <v>2030</v>
      </c>
      <c r="Q40" s="52">
        <v>2031</v>
      </c>
      <c r="R40" s="52">
        <v>2032</v>
      </c>
      <c r="S40" s="52">
        <v>2033</v>
      </c>
      <c r="T40" s="52">
        <v>2034</v>
      </c>
      <c r="U40" s="52">
        <v>2035</v>
      </c>
      <c r="V40" s="52">
        <v>2036</v>
      </c>
      <c r="W40" s="52">
        <v>2037</v>
      </c>
    </row>
    <row r="41" spans="1:24" x14ac:dyDescent="0.35">
      <c r="A41" s="7" t="str" cm="1">
        <f t="array" ref="A41:A56">core_elements</f>
        <v>Application server hardware</v>
      </c>
      <c r="B41" s="94"/>
      <c r="C41" s="17"/>
      <c r="D41" s="171" cm="1">
        <f t="array" ref="D41:W56">$C$13*unit_costs_core_capex*opex_factor_index</f>
        <v>1239368.0182132989</v>
      </c>
      <c r="E41" s="171">
        <v>1290182.1069600445</v>
      </c>
      <c r="F41" s="171">
        <v>1332758.1164897257</v>
      </c>
      <c r="G41" s="171">
        <v>1392732.2317317633</v>
      </c>
      <c r="H41" s="171">
        <v>1488830.755721255</v>
      </c>
      <c r="I41" s="171">
        <v>1578160.6010645302</v>
      </c>
      <c r="J41" s="171">
        <v>1657068.6311177565</v>
      </c>
      <c r="K41" s="172">
        <v>1731636.7195180557</v>
      </c>
      <c r="L41" s="172">
        <v>1809560.371896368</v>
      </c>
      <c r="M41" s="172">
        <v>1890990.5886317044</v>
      </c>
      <c r="N41" s="172">
        <v>1976085.1651201313</v>
      </c>
      <c r="O41" s="172">
        <v>2065008.9975505369</v>
      </c>
      <c r="P41" s="172">
        <v>2157934.4024403114</v>
      </c>
      <c r="Q41" s="172">
        <v>2255041.450550125</v>
      </c>
      <c r="R41" s="172">
        <v>2356518.3158248812</v>
      </c>
      <c r="S41" s="172">
        <v>2462561.6400369997</v>
      </c>
      <c r="T41" s="172">
        <v>2573376.913838665</v>
      </c>
      <c r="U41" s="172">
        <v>2689178.8749614046</v>
      </c>
      <c r="V41" s="172">
        <v>2810191.9243346676</v>
      </c>
      <c r="W41" s="172">
        <v>2936650.5609297273</v>
      </c>
    </row>
    <row r="42" spans="1:24" x14ac:dyDescent="0.35">
      <c r="A42" s="7" t="str">
        <v>Application server software</v>
      </c>
      <c r="B42" s="94"/>
      <c r="C42" s="17"/>
      <c r="D42" s="171">
        <v>0</v>
      </c>
      <c r="E42" s="171">
        <v>0</v>
      </c>
      <c r="F42" s="171">
        <v>0</v>
      </c>
      <c r="G42" s="171">
        <v>0</v>
      </c>
      <c r="H42" s="171">
        <v>0</v>
      </c>
      <c r="I42" s="171">
        <v>0</v>
      </c>
      <c r="J42" s="171">
        <v>0</v>
      </c>
      <c r="K42" s="172">
        <v>0</v>
      </c>
      <c r="L42" s="172">
        <v>0</v>
      </c>
      <c r="M42" s="172">
        <v>0</v>
      </c>
      <c r="N42" s="172">
        <v>0</v>
      </c>
      <c r="O42" s="172">
        <v>0</v>
      </c>
      <c r="P42" s="172">
        <v>0</v>
      </c>
      <c r="Q42" s="172">
        <v>0</v>
      </c>
      <c r="R42" s="172">
        <v>0</v>
      </c>
      <c r="S42" s="172">
        <v>0</v>
      </c>
      <c r="T42" s="172">
        <v>0</v>
      </c>
      <c r="U42" s="172">
        <v>0</v>
      </c>
      <c r="V42" s="172">
        <v>0</v>
      </c>
      <c r="W42" s="172">
        <v>0</v>
      </c>
    </row>
    <row r="43" spans="1:24" x14ac:dyDescent="0.35">
      <c r="A43" s="7" t="str">
        <v>Charging data function hardware</v>
      </c>
      <c r="B43" s="94"/>
      <c r="C43" s="17"/>
      <c r="D43" s="171">
        <v>127161.36909092063</v>
      </c>
      <c r="E43" s="171">
        <v>132374.98522364837</v>
      </c>
      <c r="F43" s="171">
        <v>136743.3597360288</v>
      </c>
      <c r="G43" s="171">
        <v>142896.81092415008</v>
      </c>
      <c r="H43" s="171">
        <v>152756.69087791641</v>
      </c>
      <c r="I43" s="171">
        <v>161922.0923305914</v>
      </c>
      <c r="J43" s="171">
        <v>170018.19694712094</v>
      </c>
      <c r="K43" s="172">
        <v>177669.01580974142</v>
      </c>
      <c r="L43" s="172">
        <v>185664.12152117977</v>
      </c>
      <c r="M43" s="172">
        <v>194019.00698963285</v>
      </c>
      <c r="N43" s="172">
        <v>202749.86230416631</v>
      </c>
      <c r="O43" s="172">
        <v>211873.60610785379</v>
      </c>
      <c r="P43" s="172">
        <v>221407.9183827072</v>
      </c>
      <c r="Q43" s="172">
        <v>231371.27470992904</v>
      </c>
      <c r="R43" s="172">
        <v>241782.98207187586</v>
      </c>
      <c r="S43" s="172">
        <v>252663.21626511024</v>
      </c>
      <c r="T43" s="172">
        <v>264033.06099704019</v>
      </c>
      <c r="U43" s="172">
        <v>275914.54874190694</v>
      </c>
      <c r="V43" s="172">
        <v>288330.7034352927</v>
      </c>
      <c r="W43" s="172">
        <v>301305.58508988086</v>
      </c>
    </row>
    <row r="44" spans="1:24" x14ac:dyDescent="0.35">
      <c r="A44" s="7" t="str">
        <v>Charging data function software</v>
      </c>
      <c r="B44" s="94"/>
      <c r="C44" s="17"/>
      <c r="D44" s="171">
        <v>151.41370531488116</v>
      </c>
      <c r="E44" s="171">
        <v>157.62166723279131</v>
      </c>
      <c r="F44" s="171">
        <v>162.82318225147341</v>
      </c>
      <c r="G44" s="171">
        <v>170.15022545278973</v>
      </c>
      <c r="H44" s="171">
        <v>181.89059100903216</v>
      </c>
      <c r="I44" s="171">
        <v>192.80402646957413</v>
      </c>
      <c r="J44" s="171">
        <v>202.44422779305282</v>
      </c>
      <c r="K44" s="172">
        <v>211.55421804374018</v>
      </c>
      <c r="L44" s="172">
        <v>221.07415785570848</v>
      </c>
      <c r="M44" s="172">
        <v>231.02249495921532</v>
      </c>
      <c r="N44" s="172">
        <v>241.41850723238008</v>
      </c>
      <c r="O44" s="172">
        <v>252.28234005783713</v>
      </c>
      <c r="P44" s="172">
        <v>263.63504536043979</v>
      </c>
      <c r="Q44" s="172">
        <v>275.49862240165959</v>
      </c>
      <c r="R44" s="172">
        <v>287.89606040973428</v>
      </c>
      <c r="S44" s="172">
        <v>300.8513831281723</v>
      </c>
      <c r="T44" s="172">
        <v>314.38969536894007</v>
      </c>
      <c r="U44" s="172">
        <v>328.53723166054226</v>
      </c>
      <c r="V44" s="172">
        <v>343.32140708526669</v>
      </c>
      <c r="W44" s="172">
        <v>358.77087040410362</v>
      </c>
    </row>
    <row r="45" spans="1:24" x14ac:dyDescent="0.35">
      <c r="A45" s="7" t="str">
        <v>Proxy - Call session control function hardware</v>
      </c>
      <c r="B45" s="94"/>
      <c r="C45" s="17"/>
      <c r="D45" s="171">
        <v>431116.2127063009</v>
      </c>
      <c r="E45" s="171">
        <v>448791.97742725932</v>
      </c>
      <c r="F45" s="171">
        <v>463602.11268235889</v>
      </c>
      <c r="G45" s="171">
        <v>484464.20775306498</v>
      </c>
      <c r="H45" s="171">
        <v>517892.23808802641</v>
      </c>
      <c r="I45" s="171">
        <v>548965.77237330796</v>
      </c>
      <c r="J45" s="171">
        <v>576414.06099197338</v>
      </c>
      <c r="K45" s="172">
        <v>602352.69373661221</v>
      </c>
      <c r="L45" s="172">
        <v>629458.56495475979</v>
      </c>
      <c r="M45" s="172">
        <v>657784.2003777239</v>
      </c>
      <c r="N45" s="172">
        <v>687384.48939472146</v>
      </c>
      <c r="O45" s="172">
        <v>718316.79141748394</v>
      </c>
      <c r="P45" s="172">
        <v>750641.04703127057</v>
      </c>
      <c r="Q45" s="172">
        <v>784419.8941476777</v>
      </c>
      <c r="R45" s="172">
        <v>819718.78938432341</v>
      </c>
      <c r="S45" s="172">
        <v>856606.13490661769</v>
      </c>
      <c r="T45" s="172">
        <v>895153.41097741551</v>
      </c>
      <c r="U45" s="172">
        <v>935435.31447139918</v>
      </c>
      <c r="V45" s="172">
        <v>977529.90362261189</v>
      </c>
      <c r="W45" s="172">
        <v>1021518.7492856293</v>
      </c>
    </row>
    <row r="46" spans="1:24" x14ac:dyDescent="0.35">
      <c r="A46" s="7" t="str">
        <v>Proxy - Call session control function software</v>
      </c>
      <c r="B46" s="94"/>
      <c r="C46" s="17"/>
      <c r="D46" s="171">
        <v>980.37650923304341</v>
      </c>
      <c r="E46" s="171">
        <v>1020.5719461115983</v>
      </c>
      <c r="F46" s="171">
        <v>1054.2508203332811</v>
      </c>
      <c r="G46" s="171">
        <v>1101.6921072482787</v>
      </c>
      <c r="H46" s="171">
        <v>1177.7088626484096</v>
      </c>
      <c r="I46" s="171">
        <v>1248.3713944073143</v>
      </c>
      <c r="J46" s="171">
        <v>1310.7899641276802</v>
      </c>
      <c r="K46" s="172">
        <v>1369.7755125134258</v>
      </c>
      <c r="L46" s="172">
        <v>1431.4154105765297</v>
      </c>
      <c r="M46" s="172">
        <v>1495.8291040524737</v>
      </c>
      <c r="N46" s="172">
        <v>1563.1414137348349</v>
      </c>
      <c r="O46" s="172">
        <v>1633.4827773529023</v>
      </c>
      <c r="P46" s="172">
        <v>1706.9895023337831</v>
      </c>
      <c r="Q46" s="172">
        <v>1783.8040299388031</v>
      </c>
      <c r="R46" s="172">
        <v>1864.0752112860491</v>
      </c>
      <c r="S46" s="172">
        <v>1947.9585957939212</v>
      </c>
      <c r="T46" s="172">
        <v>2035.6167326046475</v>
      </c>
      <c r="U46" s="172">
        <v>2127.2194855718567</v>
      </c>
      <c r="V46" s="172">
        <v>2222.9443624225896</v>
      </c>
      <c r="W46" s="172">
        <v>2322.9768587316062</v>
      </c>
    </row>
    <row r="47" spans="1:24" x14ac:dyDescent="0.35">
      <c r="A47" s="7" t="str">
        <v>Interrogating - Call session control function hardware</v>
      </c>
      <c r="B47" s="94"/>
      <c r="C47" s="17"/>
      <c r="D47" s="171">
        <v>0</v>
      </c>
      <c r="E47" s="171">
        <v>0</v>
      </c>
      <c r="F47" s="171">
        <v>0</v>
      </c>
      <c r="G47" s="171">
        <v>0</v>
      </c>
      <c r="H47" s="171">
        <v>0</v>
      </c>
      <c r="I47" s="171">
        <v>0</v>
      </c>
      <c r="J47" s="171">
        <v>0</v>
      </c>
      <c r="K47" s="172">
        <v>0</v>
      </c>
      <c r="L47" s="172">
        <v>0</v>
      </c>
      <c r="M47" s="172">
        <v>0</v>
      </c>
      <c r="N47" s="172">
        <v>0</v>
      </c>
      <c r="O47" s="172">
        <v>0</v>
      </c>
      <c r="P47" s="172">
        <v>0</v>
      </c>
      <c r="Q47" s="172">
        <v>0</v>
      </c>
      <c r="R47" s="172">
        <v>0</v>
      </c>
      <c r="S47" s="172">
        <v>0</v>
      </c>
      <c r="T47" s="172">
        <v>0</v>
      </c>
      <c r="U47" s="172">
        <v>0</v>
      </c>
      <c r="V47" s="172">
        <v>0</v>
      </c>
      <c r="W47" s="172">
        <v>0</v>
      </c>
    </row>
    <row r="48" spans="1:24" x14ac:dyDescent="0.35">
      <c r="A48" s="7" t="str">
        <v>Interrogating - Call session control function software</v>
      </c>
      <c r="B48" s="94"/>
      <c r="C48" s="17"/>
      <c r="D48" s="171">
        <v>196.07530184660868</v>
      </c>
      <c r="E48" s="171">
        <v>204.11438922231966</v>
      </c>
      <c r="F48" s="171">
        <v>210.85016406665619</v>
      </c>
      <c r="G48" s="171">
        <v>220.33842144965573</v>
      </c>
      <c r="H48" s="171">
        <v>235.54177252968194</v>
      </c>
      <c r="I48" s="171">
        <v>249.67427888146284</v>
      </c>
      <c r="J48" s="171">
        <v>262.15799282553598</v>
      </c>
      <c r="K48" s="172">
        <v>273.95510250268512</v>
      </c>
      <c r="L48" s="172">
        <v>286.28308211530594</v>
      </c>
      <c r="M48" s="172">
        <v>299.16582081049467</v>
      </c>
      <c r="N48" s="172">
        <v>312.62828274696693</v>
      </c>
      <c r="O48" s="172">
        <v>326.69655547058045</v>
      </c>
      <c r="P48" s="172">
        <v>341.3979004667566</v>
      </c>
      <c r="Q48" s="172">
        <v>356.76080598776059</v>
      </c>
      <c r="R48" s="172">
        <v>372.81504225720983</v>
      </c>
      <c r="S48" s="172">
        <v>389.5917191587842</v>
      </c>
      <c r="T48" s="172">
        <v>407.12334652092943</v>
      </c>
      <c r="U48" s="172">
        <v>425.44389711437134</v>
      </c>
      <c r="V48" s="172">
        <v>444.58887248451794</v>
      </c>
      <c r="W48" s="172">
        <v>464.59537174632118</v>
      </c>
    </row>
    <row r="49" spans="1:24" x14ac:dyDescent="0.35">
      <c r="A49" s="7" t="str">
        <v>Serving - Call session control function hardware</v>
      </c>
      <c r="B49" s="94"/>
      <c r="C49" s="17"/>
      <c r="D49" s="171">
        <v>0</v>
      </c>
      <c r="E49" s="171">
        <v>0</v>
      </c>
      <c r="F49" s="171">
        <v>0</v>
      </c>
      <c r="G49" s="171">
        <v>0</v>
      </c>
      <c r="H49" s="171">
        <v>0</v>
      </c>
      <c r="I49" s="171">
        <v>0</v>
      </c>
      <c r="J49" s="171">
        <v>0</v>
      </c>
      <c r="K49" s="172">
        <v>0</v>
      </c>
      <c r="L49" s="172">
        <v>0</v>
      </c>
      <c r="M49" s="172">
        <v>0</v>
      </c>
      <c r="N49" s="172">
        <v>0</v>
      </c>
      <c r="O49" s="172">
        <v>0</v>
      </c>
      <c r="P49" s="172">
        <v>0</v>
      </c>
      <c r="Q49" s="172">
        <v>0</v>
      </c>
      <c r="R49" s="172">
        <v>0</v>
      </c>
      <c r="S49" s="172">
        <v>0</v>
      </c>
      <c r="T49" s="172">
        <v>0</v>
      </c>
      <c r="U49" s="172">
        <v>0</v>
      </c>
      <c r="V49" s="172">
        <v>0</v>
      </c>
      <c r="W49" s="172">
        <v>0</v>
      </c>
    </row>
    <row r="50" spans="1:24" x14ac:dyDescent="0.35">
      <c r="A50" s="7" t="str">
        <v>Serving - Call session control function software</v>
      </c>
      <c r="B50" s="94"/>
      <c r="C50" s="17"/>
      <c r="D50" s="171">
        <v>980.37650923304341</v>
      </c>
      <c r="E50" s="171">
        <v>1020.5719461115983</v>
      </c>
      <c r="F50" s="171">
        <v>1054.2508203332811</v>
      </c>
      <c r="G50" s="171">
        <v>1101.6921072482787</v>
      </c>
      <c r="H50" s="171">
        <v>1177.7088626484096</v>
      </c>
      <c r="I50" s="171">
        <v>1248.3713944073143</v>
      </c>
      <c r="J50" s="171">
        <v>1310.7899641276802</v>
      </c>
      <c r="K50" s="172">
        <v>1369.7755125134258</v>
      </c>
      <c r="L50" s="172">
        <v>1431.4154105765297</v>
      </c>
      <c r="M50" s="172">
        <v>1495.8291040524737</v>
      </c>
      <c r="N50" s="172">
        <v>1563.1414137348349</v>
      </c>
      <c r="O50" s="172">
        <v>1633.4827773529023</v>
      </c>
      <c r="P50" s="172">
        <v>1706.9895023337831</v>
      </c>
      <c r="Q50" s="172">
        <v>1783.8040299388031</v>
      </c>
      <c r="R50" s="172">
        <v>1864.0752112860491</v>
      </c>
      <c r="S50" s="172">
        <v>1947.9585957939212</v>
      </c>
      <c r="T50" s="172">
        <v>2035.6167326046475</v>
      </c>
      <c r="U50" s="172">
        <v>2127.2194855718567</v>
      </c>
      <c r="V50" s="172">
        <v>2222.9443624225896</v>
      </c>
      <c r="W50" s="172">
        <v>2322.9768587316062</v>
      </c>
    </row>
    <row r="51" spans="1:24" x14ac:dyDescent="0.35">
      <c r="A51" s="7" t="str">
        <v>Media resource function - hardware</v>
      </c>
      <c r="B51" s="94"/>
      <c r="C51" s="17"/>
      <c r="D51" s="171">
        <v>98037.650923304362</v>
      </c>
      <c r="E51" s="171">
        <v>102057.19461115984</v>
      </c>
      <c r="F51" s="171">
        <v>105425.08203332813</v>
      </c>
      <c r="G51" s="171">
        <v>110169.21072482789</v>
      </c>
      <c r="H51" s="171">
        <v>117770.88626484098</v>
      </c>
      <c r="I51" s="171">
        <v>124837.13944073144</v>
      </c>
      <c r="J51" s="171">
        <v>131078.99641276803</v>
      </c>
      <c r="K51" s="172">
        <v>136977.55125134258</v>
      </c>
      <c r="L51" s="172">
        <v>143141.541057653</v>
      </c>
      <c r="M51" s="172">
        <v>149582.91040524736</v>
      </c>
      <c r="N51" s="172">
        <v>156314.14137348349</v>
      </c>
      <c r="O51" s="172">
        <v>163348.27773529026</v>
      </c>
      <c r="P51" s="172">
        <v>170698.9502333783</v>
      </c>
      <c r="Q51" s="172">
        <v>178380.40299388033</v>
      </c>
      <c r="R51" s="172">
        <v>186407.52112860492</v>
      </c>
      <c r="S51" s="172">
        <v>194795.85957939213</v>
      </c>
      <c r="T51" s="172">
        <v>203561.67326046477</v>
      </c>
      <c r="U51" s="172">
        <v>212721.94855718565</v>
      </c>
      <c r="V51" s="172">
        <v>222294.43624225899</v>
      </c>
      <c r="W51" s="172">
        <v>232297.68587316063</v>
      </c>
    </row>
    <row r="52" spans="1:24" x14ac:dyDescent="0.35">
      <c r="A52" s="7" t="str">
        <v>Media resource function - software</v>
      </c>
      <c r="B52" s="94"/>
      <c r="C52" s="17"/>
      <c r="D52" s="171">
        <v>16.33960848721739</v>
      </c>
      <c r="E52" s="171">
        <v>17.009532435193307</v>
      </c>
      <c r="F52" s="171">
        <v>17.570847005554683</v>
      </c>
      <c r="G52" s="171">
        <v>18.361535120804646</v>
      </c>
      <c r="H52" s="171">
        <v>19.628481044140159</v>
      </c>
      <c r="I52" s="171">
        <v>20.806189906788571</v>
      </c>
      <c r="J52" s="171">
        <v>21.846499402128003</v>
      </c>
      <c r="K52" s="172">
        <v>22.829591875223759</v>
      </c>
      <c r="L52" s="172">
        <v>23.85692350960883</v>
      </c>
      <c r="M52" s="172">
        <v>24.93048506754122</v>
      </c>
      <c r="N52" s="172">
        <v>26.052356895580576</v>
      </c>
      <c r="O52" s="172">
        <v>27.224712955881706</v>
      </c>
      <c r="P52" s="172">
        <v>28.449825038896385</v>
      </c>
      <c r="Q52" s="172">
        <v>29.730067165646719</v>
      </c>
      <c r="R52" s="172">
        <v>31.067920188100821</v>
      </c>
      <c r="S52" s="172">
        <v>32.465976596565355</v>
      </c>
      <c r="T52" s="172">
        <v>33.926945543410795</v>
      </c>
      <c r="U52" s="172">
        <v>35.453658092864266</v>
      </c>
      <c r="V52" s="172">
        <v>37.049072707043159</v>
      </c>
      <c r="W52" s="172">
        <v>38.716280978860098</v>
      </c>
    </row>
    <row r="53" spans="1:24" x14ac:dyDescent="0.35">
      <c r="A53" s="17" t="str">
        <v>Access session border controller - hardware</v>
      </c>
      <c r="B53" s="17"/>
      <c r="C53" s="7"/>
      <c r="D53" s="171">
        <v>149964.30652060223</v>
      </c>
      <c r="E53" s="171">
        <v>156112.84308794694</v>
      </c>
      <c r="F53" s="171">
        <v>161264.56690984918</v>
      </c>
      <c r="G53" s="171">
        <v>168521.47242079242</v>
      </c>
      <c r="H53" s="171">
        <v>180149.45401782703</v>
      </c>
      <c r="I53" s="171">
        <v>190958.42125889668</v>
      </c>
      <c r="J53" s="171">
        <v>200506.34232184148</v>
      </c>
      <c r="K53" s="171">
        <v>209529.12772632434</v>
      </c>
      <c r="L53" s="171">
        <v>218957.93847400896</v>
      </c>
      <c r="M53" s="171">
        <v>228811.04570533935</v>
      </c>
      <c r="N53" s="171">
        <v>239107.54276207963</v>
      </c>
      <c r="O53" s="171">
        <v>249867.38218637317</v>
      </c>
      <c r="P53" s="171">
        <v>261111.41438475996</v>
      </c>
      <c r="Q53" s="171">
        <v>272861.42803207418</v>
      </c>
      <c r="R53" s="171">
        <v>285140.19229351752</v>
      </c>
      <c r="S53" s="171">
        <v>297971.50094672578</v>
      </c>
      <c r="T53" s="171">
        <v>311380.2184893284</v>
      </c>
      <c r="U53" s="171">
        <v>325392.32832134818</v>
      </c>
      <c r="V53" s="171">
        <v>340034.98309580877</v>
      </c>
      <c r="W53" s="171">
        <v>355336.55733512016</v>
      </c>
    </row>
    <row r="54" spans="1:24" x14ac:dyDescent="0.35">
      <c r="A54" s="17" t="str">
        <v>Access session border controller - software</v>
      </c>
      <c r="B54" s="17"/>
      <c r="C54" s="17"/>
      <c r="D54" s="173">
        <v>247532.4324852443</v>
      </c>
      <c r="E54" s="173">
        <v>257681.2622171393</v>
      </c>
      <c r="F54" s="173">
        <v>266184.7438703049</v>
      </c>
      <c r="G54" s="173">
        <v>278163.05734446866</v>
      </c>
      <c r="H54" s="173">
        <v>297356.30830123695</v>
      </c>
      <c r="I54" s="173">
        <v>315197.68679931114</v>
      </c>
      <c r="J54" s="173">
        <v>330957.57113927667</v>
      </c>
      <c r="K54" s="173">
        <v>345850.66184054408</v>
      </c>
      <c r="L54" s="173">
        <v>361413.94162336859</v>
      </c>
      <c r="M54" s="173">
        <v>377677.56899642019</v>
      </c>
      <c r="N54" s="173">
        <v>394673.05960125907</v>
      </c>
      <c r="O54" s="173">
        <v>412433.34728331573</v>
      </c>
      <c r="P54" s="173">
        <v>430992.84791106498</v>
      </c>
      <c r="Q54" s="173">
        <v>450387.52606706286</v>
      </c>
      <c r="R54" s="173">
        <v>470654.9647400807</v>
      </c>
      <c r="S54" s="173">
        <v>491834.4381533842</v>
      </c>
      <c r="T54" s="173">
        <v>513966.98787028651</v>
      </c>
      <c r="U54" s="173">
        <v>537095.50232444936</v>
      </c>
      <c r="V54" s="173">
        <v>561264.79992904956</v>
      </c>
      <c r="W54" s="173">
        <v>586521.71592585673</v>
      </c>
    </row>
    <row r="55" spans="1:24" x14ac:dyDescent="0.35">
      <c r="A55" s="17" t="str">
        <v>Internet exchange point session border controller - hardware</v>
      </c>
      <c r="B55" s="17"/>
      <c r="C55" s="17"/>
      <c r="D55" s="171">
        <v>149964.30652060223</v>
      </c>
      <c r="E55" s="171">
        <v>156112.84308794694</v>
      </c>
      <c r="F55" s="171">
        <v>161264.56690984918</v>
      </c>
      <c r="G55" s="171">
        <v>168521.47242079242</v>
      </c>
      <c r="H55" s="171">
        <v>180149.45401782703</v>
      </c>
      <c r="I55" s="171">
        <v>190958.42125889668</v>
      </c>
      <c r="J55" s="171">
        <v>200506.34232184148</v>
      </c>
      <c r="K55" s="171">
        <v>209529.12772632434</v>
      </c>
      <c r="L55" s="171">
        <v>218957.93847400896</v>
      </c>
      <c r="M55" s="171">
        <v>228811.04570533935</v>
      </c>
      <c r="N55" s="171">
        <v>239107.54276207963</v>
      </c>
      <c r="O55" s="171">
        <v>249867.38218637317</v>
      </c>
      <c r="P55" s="171">
        <v>261111.41438475996</v>
      </c>
      <c r="Q55" s="171">
        <v>272861.42803207418</v>
      </c>
      <c r="R55" s="171">
        <v>285140.19229351752</v>
      </c>
      <c r="S55" s="171">
        <v>297971.50094672578</v>
      </c>
      <c r="T55" s="171">
        <v>311380.2184893284</v>
      </c>
      <c r="U55" s="171">
        <v>325392.32832134818</v>
      </c>
      <c r="V55" s="171">
        <v>340034.98309580877</v>
      </c>
      <c r="W55" s="171">
        <v>355336.55733512016</v>
      </c>
    </row>
    <row r="56" spans="1:24" x14ac:dyDescent="0.35">
      <c r="A56" s="17" t="str">
        <v>Internet exchange point session border controller - software</v>
      </c>
      <c r="B56" s="17"/>
      <c r="C56" s="17"/>
      <c r="D56" s="171">
        <v>247532.4324852443</v>
      </c>
      <c r="E56" s="171">
        <v>257681.2622171393</v>
      </c>
      <c r="F56" s="171">
        <v>266184.7438703049</v>
      </c>
      <c r="G56" s="171">
        <v>278163.05734446866</v>
      </c>
      <c r="H56" s="171">
        <v>297356.30830123695</v>
      </c>
      <c r="I56" s="171">
        <v>315197.68679931114</v>
      </c>
      <c r="J56" s="171">
        <v>330957.57113927667</v>
      </c>
      <c r="K56" s="171">
        <v>345850.66184054408</v>
      </c>
      <c r="L56" s="171">
        <v>361413.94162336859</v>
      </c>
      <c r="M56" s="171">
        <v>377677.56899642019</v>
      </c>
      <c r="N56" s="171">
        <v>394673.05960125907</v>
      </c>
      <c r="O56" s="171">
        <v>412433.34728331573</v>
      </c>
      <c r="P56" s="171">
        <v>430992.84791106498</v>
      </c>
      <c r="Q56" s="171">
        <v>450387.52606706286</v>
      </c>
      <c r="R56" s="171">
        <v>470654.9647400807</v>
      </c>
      <c r="S56" s="171">
        <v>491834.4381533842</v>
      </c>
      <c r="T56" s="171">
        <v>513966.98787028651</v>
      </c>
      <c r="U56" s="171">
        <v>537095.50232444936</v>
      </c>
      <c r="V56" s="171">
        <v>561264.79992904956</v>
      </c>
      <c r="W56" s="171">
        <v>586521.71592585673</v>
      </c>
      <c r="X56" s="6" t="s">
        <v>264</v>
      </c>
    </row>
    <row r="58" spans="1:24" x14ac:dyDescent="0.35">
      <c r="A58" s="14" t="s">
        <v>392</v>
      </c>
      <c r="B58" s="17"/>
      <c r="C58" s="17"/>
      <c r="D58" s="138">
        <f>SUM(D41:D56)</f>
        <v>2693001.3105796329</v>
      </c>
      <c r="E58" s="138">
        <f t="shared" ref="E58:W58" si="11">SUM(E41:E56)</f>
        <v>2803414.364313398</v>
      </c>
      <c r="F58" s="138">
        <f t="shared" si="11"/>
        <v>2895927.0383357401</v>
      </c>
      <c r="G58" s="138">
        <f t="shared" si="11"/>
        <v>3026243.7550608492</v>
      </c>
      <c r="H58" s="138">
        <f t="shared" si="11"/>
        <v>3235054.5741600455</v>
      </c>
      <c r="I58" s="138">
        <f t="shared" si="11"/>
        <v>3429157.8486096491</v>
      </c>
      <c r="J58" s="138">
        <f t="shared" si="11"/>
        <v>3600615.7410401311</v>
      </c>
      <c r="K58" s="138">
        <f t="shared" si="11"/>
        <v>3762643.4493869371</v>
      </c>
      <c r="L58" s="138">
        <f t="shared" si="11"/>
        <v>3931962.4046093486</v>
      </c>
      <c r="M58" s="138">
        <f t="shared" si="11"/>
        <v>4108900.7128167693</v>
      </c>
      <c r="N58" s="138">
        <f t="shared" si="11"/>
        <v>4293801.2448935248</v>
      </c>
      <c r="O58" s="138">
        <f t="shared" si="11"/>
        <v>4487022.3009137325</v>
      </c>
      <c r="P58" s="138">
        <f t="shared" si="11"/>
        <v>4688938.30445485</v>
      </c>
      <c r="Q58" s="138">
        <f t="shared" si="11"/>
        <v>4899940.5281553194</v>
      </c>
      <c r="R58" s="138">
        <f t="shared" si="11"/>
        <v>5120437.85192231</v>
      </c>
      <c r="S58" s="138">
        <f t="shared" si="11"/>
        <v>5350857.5552588105</v>
      </c>
      <c r="T58" s="138">
        <f t="shared" si="11"/>
        <v>5591646.1452454571</v>
      </c>
      <c r="U58" s="138">
        <f t="shared" si="11"/>
        <v>5843270.2217815034</v>
      </c>
      <c r="V58" s="138">
        <f t="shared" si="11"/>
        <v>6106217.3817616701</v>
      </c>
      <c r="W58" s="138">
        <f t="shared" si="11"/>
        <v>6380997.1639409447</v>
      </c>
      <c r="X58" s="15" t="s">
        <v>394</v>
      </c>
    </row>
  </sheetData>
  <phoneticPr fontId="1" type="noConversion"/>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EAED4-9633-478F-B228-37EE4591F4C0}">
  <sheetPr>
    <tabColor theme="3" tint="0.79998168889431442"/>
  </sheetPr>
  <dimension ref="B2"/>
  <sheetViews>
    <sheetView workbookViewId="0">
      <selection activeCell="B3" sqref="B3"/>
    </sheetView>
  </sheetViews>
  <sheetFormatPr defaultColWidth="9.36328125" defaultRowHeight="14.5" x14ac:dyDescent="0.35"/>
  <cols>
    <col min="1" max="16384" width="9.36328125" style="12"/>
  </cols>
  <sheetData>
    <row r="2" spans="2:2" x14ac:dyDescent="0.35">
      <c r="B2" s="12" t="s">
        <v>353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74A99-B73C-4573-80FA-03E7D59B8540}">
  <dimension ref="A1:W12"/>
  <sheetViews>
    <sheetView workbookViewId="0">
      <selection activeCell="C9" sqref="C9"/>
    </sheetView>
  </sheetViews>
  <sheetFormatPr defaultColWidth="9.36328125" defaultRowHeight="14.5" x14ac:dyDescent="0.35"/>
  <cols>
    <col min="1" max="1" width="34.54296875" style="12" customWidth="1"/>
    <col min="2" max="2" width="9.36328125" style="12"/>
    <col min="3" max="22" width="15.6328125" style="12" customWidth="1"/>
    <col min="23" max="16384" width="9.36328125" style="12"/>
  </cols>
  <sheetData>
    <row r="1" spans="1:23" ht="18.5" x14ac:dyDescent="0.45">
      <c r="A1" s="50" t="s">
        <v>328</v>
      </c>
      <c r="B1" s="48"/>
      <c r="C1" s="48"/>
      <c r="D1" s="21"/>
    </row>
    <row r="3" spans="1:23" x14ac:dyDescent="0.35">
      <c r="A3" s="12" t="s">
        <v>338</v>
      </c>
    </row>
    <row r="5" spans="1:23" x14ac:dyDescent="0.35">
      <c r="C5" s="198" cm="1">
        <f t="array" ref="C5:V5">years</f>
        <v>2018</v>
      </c>
      <c r="D5" s="198">
        <v>2019</v>
      </c>
      <c r="E5" s="198">
        <v>2020</v>
      </c>
      <c r="F5" s="198">
        <v>2021</v>
      </c>
      <c r="G5" s="198">
        <v>2022</v>
      </c>
      <c r="H5" s="198">
        <v>2023</v>
      </c>
      <c r="I5" s="198">
        <v>2024</v>
      </c>
      <c r="J5" s="198">
        <v>2025</v>
      </c>
      <c r="K5" s="198">
        <v>2026</v>
      </c>
      <c r="L5" s="198">
        <v>2027</v>
      </c>
      <c r="M5" s="198">
        <v>2028</v>
      </c>
      <c r="N5" s="198">
        <v>2029</v>
      </c>
      <c r="O5" s="198">
        <v>2030</v>
      </c>
      <c r="P5" s="198">
        <v>2031</v>
      </c>
      <c r="Q5" s="198">
        <v>2032</v>
      </c>
      <c r="R5" s="198">
        <v>2033</v>
      </c>
      <c r="S5" s="198">
        <v>2034</v>
      </c>
      <c r="T5" s="198">
        <v>2035</v>
      </c>
      <c r="U5" s="198">
        <v>2036</v>
      </c>
      <c r="V5" s="198">
        <v>2037</v>
      </c>
    </row>
    <row r="6" spans="1:23" x14ac:dyDescent="0.35">
      <c r="A6" s="200" t="str">
        <f>'4 Cost - capital'!$A$3</f>
        <v xml:space="preserve">Core network </v>
      </c>
      <c r="B6" s="17"/>
      <c r="C6" s="16"/>
      <c r="D6" s="16"/>
      <c r="E6" s="16"/>
      <c r="F6" s="16"/>
      <c r="G6" s="16"/>
      <c r="H6" s="16"/>
      <c r="I6" s="16"/>
      <c r="J6" s="16"/>
      <c r="K6" s="16"/>
      <c r="L6" s="16"/>
      <c r="M6" s="16"/>
      <c r="N6" s="16"/>
      <c r="O6" s="16"/>
      <c r="P6" s="16"/>
      <c r="Q6" s="16"/>
      <c r="R6" s="16"/>
      <c r="S6" s="16"/>
      <c r="T6" s="16"/>
      <c r="U6" s="16"/>
      <c r="V6" s="16"/>
    </row>
    <row r="7" spans="1:23" x14ac:dyDescent="0.35">
      <c r="A7" s="17" t="s">
        <v>152</v>
      </c>
      <c r="B7" s="16">
        <f>'3 Network demand'!$C$43</f>
        <v>8</v>
      </c>
      <c r="C7" s="16"/>
      <c r="D7" s="16"/>
      <c r="E7" s="16"/>
      <c r="F7" s="16"/>
      <c r="G7" s="16"/>
      <c r="H7" s="16"/>
      <c r="I7" s="16"/>
      <c r="J7" s="16"/>
      <c r="K7" s="16"/>
      <c r="L7" s="16"/>
      <c r="M7" s="16"/>
      <c r="N7" s="16"/>
      <c r="O7" s="16"/>
      <c r="P7" s="16"/>
      <c r="Q7" s="16"/>
      <c r="R7" s="16"/>
      <c r="S7" s="16"/>
      <c r="T7" s="16"/>
      <c r="U7" s="16"/>
      <c r="V7" s="16"/>
    </row>
    <row r="8" spans="1:23" x14ac:dyDescent="0.35">
      <c r="A8" s="17" t="s">
        <v>339</v>
      </c>
      <c r="B8" s="16"/>
      <c r="C8" s="199"/>
      <c r="D8" s="16">
        <f>C12</f>
        <v>179604186.90633151</v>
      </c>
      <c r="E8" s="16">
        <f t="shared" ref="E8:V8" si="0">D12</f>
        <v>157153663.54304007</v>
      </c>
      <c r="F8" s="16">
        <f t="shared" si="0"/>
        <v>137509455.60016006</v>
      </c>
      <c r="G8" s="16">
        <f t="shared" si="0"/>
        <v>120320773.65014005</v>
      </c>
      <c r="H8" s="16">
        <f t="shared" si="0"/>
        <v>105280676.94387254</v>
      </c>
      <c r="I8" s="16">
        <f t="shared" si="0"/>
        <v>92120592.32588847</v>
      </c>
      <c r="J8" s="16">
        <f t="shared" si="0"/>
        <v>80605518.285152406</v>
      </c>
      <c r="K8" s="16">
        <f t="shared" si="0"/>
        <v>70529828.499508351</v>
      </c>
      <c r="L8" s="16">
        <f t="shared" si="0"/>
        <v>228843989.28789115</v>
      </c>
      <c r="M8" s="16">
        <f t="shared" si="0"/>
        <v>200238490.62690476</v>
      </c>
      <c r="N8" s="16">
        <f t="shared" si="0"/>
        <v>175208679.29854167</v>
      </c>
      <c r="O8" s="16">
        <f t="shared" si="0"/>
        <v>153307594.38622397</v>
      </c>
      <c r="P8" s="16">
        <f t="shared" si="0"/>
        <v>134144145.08794597</v>
      </c>
      <c r="Q8" s="16">
        <f t="shared" si="0"/>
        <v>117376126.95195273</v>
      </c>
      <c r="R8" s="16">
        <f t="shared" si="0"/>
        <v>102704111.08295864</v>
      </c>
      <c r="S8" s="16">
        <f t="shared" si="0"/>
        <v>89866097.197588801</v>
      </c>
      <c r="T8" s="16">
        <f t="shared" si="0"/>
        <v>272287073.9410637</v>
      </c>
      <c r="U8" s="16">
        <f t="shared" si="0"/>
        <v>238251189.69843075</v>
      </c>
      <c r="V8" s="16">
        <f t="shared" si="0"/>
        <v>208469790.9861269</v>
      </c>
    </row>
    <row r="9" spans="1:23" x14ac:dyDescent="0.35">
      <c r="A9" s="17" t="s">
        <v>340</v>
      </c>
      <c r="B9" s="16"/>
      <c r="C9" s="199" cm="1">
        <f t="array" ref="C9:V9">core_costs_capex</f>
        <v>205261927.8929503</v>
      </c>
      <c r="D9" s="16">
        <v>0</v>
      </c>
      <c r="E9" s="16">
        <v>0</v>
      </c>
      <c r="F9" s="16">
        <v>0</v>
      </c>
      <c r="G9" s="16">
        <v>0</v>
      </c>
      <c r="H9" s="16">
        <v>0</v>
      </c>
      <c r="I9" s="16">
        <v>0</v>
      </c>
      <c r="J9" s="16">
        <v>0</v>
      </c>
      <c r="K9" s="16">
        <v>191006159.25808153</v>
      </c>
      <c r="L9" s="16">
        <v>0</v>
      </c>
      <c r="M9" s="16">
        <v>0</v>
      </c>
      <c r="N9" s="16">
        <v>0</v>
      </c>
      <c r="O9" s="16">
        <v>0</v>
      </c>
      <c r="P9" s="16">
        <v>0</v>
      </c>
      <c r="Q9" s="16">
        <v>0</v>
      </c>
      <c r="R9" s="16">
        <v>0</v>
      </c>
      <c r="S9" s="16">
        <v>221319130.16362685</v>
      </c>
      <c r="T9" s="16">
        <v>0</v>
      </c>
      <c r="U9" s="16">
        <v>0</v>
      </c>
      <c r="V9" s="16">
        <v>0</v>
      </c>
    </row>
    <row r="10" spans="1:23" x14ac:dyDescent="0.35">
      <c r="A10" s="17" t="s">
        <v>341</v>
      </c>
      <c r="B10" s="16"/>
      <c r="C10" s="199">
        <f>C9</f>
        <v>205261927.8929503</v>
      </c>
      <c r="D10" s="16">
        <f>D9+D8</f>
        <v>179604186.90633151</v>
      </c>
      <c r="E10" s="16">
        <f t="shared" ref="E10:V10" si="1">E9+E8</f>
        <v>157153663.54304007</v>
      </c>
      <c r="F10" s="16">
        <f t="shared" si="1"/>
        <v>137509455.60016006</v>
      </c>
      <c r="G10" s="16">
        <f t="shared" si="1"/>
        <v>120320773.65014005</v>
      </c>
      <c r="H10" s="16">
        <f t="shared" si="1"/>
        <v>105280676.94387254</v>
      </c>
      <c r="I10" s="16">
        <f t="shared" si="1"/>
        <v>92120592.32588847</v>
      </c>
      <c r="J10" s="16">
        <f t="shared" si="1"/>
        <v>80605518.285152406</v>
      </c>
      <c r="K10" s="16">
        <f t="shared" si="1"/>
        <v>261535987.75758988</v>
      </c>
      <c r="L10" s="16">
        <f t="shared" si="1"/>
        <v>228843989.28789115</v>
      </c>
      <c r="M10" s="16">
        <f t="shared" si="1"/>
        <v>200238490.62690476</v>
      </c>
      <c r="N10" s="16">
        <f t="shared" si="1"/>
        <v>175208679.29854167</v>
      </c>
      <c r="O10" s="16">
        <f t="shared" si="1"/>
        <v>153307594.38622397</v>
      </c>
      <c r="P10" s="16">
        <f t="shared" si="1"/>
        <v>134144145.08794597</v>
      </c>
      <c r="Q10" s="16">
        <f t="shared" si="1"/>
        <v>117376126.95195273</v>
      </c>
      <c r="R10" s="16">
        <f t="shared" si="1"/>
        <v>102704111.08295864</v>
      </c>
      <c r="S10" s="16">
        <f t="shared" si="1"/>
        <v>311185227.36121565</v>
      </c>
      <c r="T10" s="16">
        <f t="shared" si="1"/>
        <v>272287073.9410637</v>
      </c>
      <c r="U10" s="16">
        <f t="shared" si="1"/>
        <v>238251189.69843075</v>
      </c>
      <c r="V10" s="16">
        <f t="shared" si="1"/>
        <v>208469790.9861269</v>
      </c>
    </row>
    <row r="11" spans="1:23" x14ac:dyDescent="0.35">
      <c r="A11" s="17" t="s">
        <v>342</v>
      </c>
      <c r="B11" s="16"/>
      <c r="C11" s="199">
        <f>C9/B7</f>
        <v>25657740.986618787</v>
      </c>
      <c r="D11" s="16">
        <f t="shared" ref="D11:V11" si="2">D10/$B$7</f>
        <v>22450523.363291439</v>
      </c>
      <c r="E11" s="16">
        <f t="shared" si="2"/>
        <v>19644207.942880008</v>
      </c>
      <c r="F11" s="16">
        <f t="shared" si="2"/>
        <v>17188681.950020008</v>
      </c>
      <c r="G11" s="16">
        <f t="shared" si="2"/>
        <v>15040096.706267506</v>
      </c>
      <c r="H11" s="16">
        <f t="shared" si="2"/>
        <v>13160084.617984068</v>
      </c>
      <c r="I11" s="16">
        <f t="shared" si="2"/>
        <v>11515074.040736059</v>
      </c>
      <c r="J11" s="16">
        <f t="shared" si="2"/>
        <v>10075689.785644051</v>
      </c>
      <c r="K11" s="16">
        <f t="shared" si="2"/>
        <v>32691998.469698735</v>
      </c>
      <c r="L11" s="16">
        <f t="shared" si="2"/>
        <v>28605498.660986394</v>
      </c>
      <c r="M11" s="16">
        <f t="shared" si="2"/>
        <v>25029811.328363094</v>
      </c>
      <c r="N11" s="16">
        <f t="shared" si="2"/>
        <v>21901084.912317708</v>
      </c>
      <c r="O11" s="16">
        <f t="shared" si="2"/>
        <v>19163449.298277996</v>
      </c>
      <c r="P11" s="16">
        <f t="shared" si="2"/>
        <v>16768018.135993246</v>
      </c>
      <c r="Q11" s="16">
        <f t="shared" si="2"/>
        <v>14672015.868994091</v>
      </c>
      <c r="R11" s="16">
        <f t="shared" si="2"/>
        <v>12838013.88536983</v>
      </c>
      <c r="S11" s="16">
        <f t="shared" si="2"/>
        <v>38898153.420151956</v>
      </c>
      <c r="T11" s="16">
        <f t="shared" si="2"/>
        <v>34035884.242632963</v>
      </c>
      <c r="U11" s="16">
        <f t="shared" si="2"/>
        <v>29781398.712303843</v>
      </c>
      <c r="V11" s="16">
        <f t="shared" si="2"/>
        <v>26058723.873265862</v>
      </c>
      <c r="W11" s="15" t="s">
        <v>344</v>
      </c>
    </row>
    <row r="12" spans="1:23" x14ac:dyDescent="0.35">
      <c r="A12" s="17" t="s">
        <v>343</v>
      </c>
      <c r="B12" s="16"/>
      <c r="C12" s="199">
        <f>C9-C11</f>
        <v>179604186.90633151</v>
      </c>
      <c r="D12" s="16">
        <f>D10-D11</f>
        <v>157153663.54304007</v>
      </c>
      <c r="E12" s="16">
        <f t="shared" ref="E12:V12" si="3">E10-E11</f>
        <v>137509455.60016006</v>
      </c>
      <c r="F12" s="16">
        <f t="shared" si="3"/>
        <v>120320773.65014005</v>
      </c>
      <c r="G12" s="16">
        <f t="shared" si="3"/>
        <v>105280676.94387254</v>
      </c>
      <c r="H12" s="16">
        <f t="shared" si="3"/>
        <v>92120592.32588847</v>
      </c>
      <c r="I12" s="16">
        <f t="shared" si="3"/>
        <v>80605518.285152406</v>
      </c>
      <c r="J12" s="16">
        <f t="shared" si="3"/>
        <v>70529828.499508351</v>
      </c>
      <c r="K12" s="16">
        <f t="shared" si="3"/>
        <v>228843989.28789115</v>
      </c>
      <c r="L12" s="16">
        <f t="shared" si="3"/>
        <v>200238490.62690476</v>
      </c>
      <c r="M12" s="16">
        <f t="shared" si="3"/>
        <v>175208679.29854167</v>
      </c>
      <c r="N12" s="16">
        <f t="shared" si="3"/>
        <v>153307594.38622397</v>
      </c>
      <c r="O12" s="16">
        <f t="shared" si="3"/>
        <v>134144145.08794597</v>
      </c>
      <c r="P12" s="16">
        <f t="shared" si="3"/>
        <v>117376126.95195273</v>
      </c>
      <c r="Q12" s="16">
        <f t="shared" si="3"/>
        <v>102704111.08295864</v>
      </c>
      <c r="R12" s="16">
        <f t="shared" si="3"/>
        <v>89866097.197588801</v>
      </c>
      <c r="S12" s="16">
        <f t="shared" si="3"/>
        <v>272287073.9410637</v>
      </c>
      <c r="T12" s="16">
        <f t="shared" si="3"/>
        <v>238251189.69843075</v>
      </c>
      <c r="U12" s="16">
        <f t="shared" si="3"/>
        <v>208469790.9861269</v>
      </c>
      <c r="V12" s="16">
        <f t="shared" si="3"/>
        <v>182411067.11286104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0814B-14E5-44E7-9E0D-AF8C592BA163}">
  <dimension ref="A1:V21"/>
  <sheetViews>
    <sheetView zoomScale="90" zoomScaleNormal="90" workbookViewId="0">
      <selection activeCell="C11" sqref="C11"/>
    </sheetView>
  </sheetViews>
  <sheetFormatPr defaultColWidth="16.54296875" defaultRowHeight="14.5" x14ac:dyDescent="0.35"/>
  <cols>
    <col min="1" max="1" width="52.6328125" style="12" customWidth="1"/>
    <col min="2" max="21" width="18.36328125" style="12" bestFit="1" customWidth="1"/>
    <col min="22" max="16384" width="16.54296875" style="12"/>
  </cols>
  <sheetData>
    <row r="1" spans="1:22" ht="18.5" x14ac:dyDescent="0.45">
      <c r="A1" s="50" t="s">
        <v>329</v>
      </c>
      <c r="B1" s="48"/>
      <c r="C1" s="48"/>
      <c r="D1" s="21"/>
    </row>
    <row r="3" spans="1:22" x14ac:dyDescent="0.35">
      <c r="A3" s="12" t="s">
        <v>330</v>
      </c>
    </row>
    <row r="5" spans="1:22" x14ac:dyDescent="0.35">
      <c r="A5"/>
      <c r="B5" s="52" cm="1">
        <f t="array" ref="B5:U5">years</f>
        <v>2018</v>
      </c>
      <c r="C5" s="52">
        <v>2019</v>
      </c>
      <c r="D5" s="52">
        <v>2020</v>
      </c>
      <c r="E5" s="52">
        <v>2021</v>
      </c>
      <c r="F5" s="52">
        <v>2022</v>
      </c>
      <c r="G5" s="52">
        <v>2023</v>
      </c>
      <c r="H5" s="52">
        <v>2024</v>
      </c>
      <c r="I5" s="52">
        <v>2025</v>
      </c>
      <c r="J5" s="52">
        <v>2026</v>
      </c>
      <c r="K5" s="52">
        <v>2027</v>
      </c>
      <c r="L5" s="52">
        <v>2028</v>
      </c>
      <c r="M5" s="52">
        <v>2029</v>
      </c>
      <c r="N5" s="52">
        <v>2030</v>
      </c>
      <c r="O5" s="52">
        <v>2031</v>
      </c>
      <c r="P5" s="52">
        <v>2032</v>
      </c>
      <c r="Q5" s="52">
        <v>2033</v>
      </c>
      <c r="R5" s="52">
        <v>2034</v>
      </c>
      <c r="S5" s="52">
        <v>2035</v>
      </c>
      <c r="T5" s="52">
        <v>2036</v>
      </c>
      <c r="U5" s="52">
        <v>2037</v>
      </c>
    </row>
    <row r="6" spans="1:22" x14ac:dyDescent="0.35">
      <c r="A6" s="17" t="s">
        <v>331</v>
      </c>
      <c r="B6" s="16" cm="1">
        <f t="array" ref="B6:U6">fixed_minutes_incoming*pure_lric</f>
        <v>12999494.513605388</v>
      </c>
      <c r="C6" s="16">
        <v>12052190.91130222</v>
      </c>
      <c r="D6" s="16">
        <v>12748654.712677902</v>
      </c>
      <c r="E6" s="16">
        <v>11828076.874705223</v>
      </c>
      <c r="F6" s="16">
        <v>12222873.158969106</v>
      </c>
      <c r="G6" s="16">
        <v>12603686.616618427</v>
      </c>
      <c r="H6" s="16">
        <v>12961466.587874562</v>
      </c>
      <c r="I6" s="16">
        <v>13311424.849621542</v>
      </c>
      <c r="J6" s="16">
        <v>13672795.66224042</v>
      </c>
      <c r="K6" s="16">
        <v>14046012.022359617</v>
      </c>
      <c r="L6" s="16">
        <v>14431524.914253134</v>
      </c>
      <c r="M6" s="16">
        <v>14829804.09146197</v>
      </c>
      <c r="N6" s="16">
        <v>15241338.893071521</v>
      </c>
      <c r="O6" s="16">
        <v>15666639.096194809</v>
      </c>
      <c r="P6" s="16">
        <v>16106235.80628103</v>
      </c>
      <c r="Q6" s="16">
        <v>16560682.386941586</v>
      </c>
      <c r="R6" s="16">
        <v>17030555.431061774</v>
      </c>
      <c r="S6" s="16">
        <v>17516455.775045574</v>
      </c>
      <c r="T6" s="16">
        <v>18019009.558124073</v>
      </c>
      <c r="U6" s="16">
        <v>18538869.328744564</v>
      </c>
      <c r="V6" s="15" t="s">
        <v>334</v>
      </c>
    </row>
    <row r="7" spans="1:22" x14ac:dyDescent="0.35">
      <c r="A7" s="17" t="s">
        <v>332</v>
      </c>
      <c r="B7" s="16" cm="1">
        <f t="array" ref="B7:U7">lric_revenues/wacc_index</f>
        <v>10780701.494231515</v>
      </c>
      <c r="C7" s="16">
        <v>8335131.9774023984</v>
      </c>
      <c r="D7" s="16">
        <v>7318248.9756440818</v>
      </c>
      <c r="E7" s="16">
        <v>5778092.9418665851</v>
      </c>
      <c r="F7" s="16">
        <v>4995667.8586614663</v>
      </c>
      <c r="G7" s="16">
        <v>4250802.9446835099</v>
      </c>
      <c r="H7" s="16">
        <v>3607286.5842305534</v>
      </c>
      <c r="I7" s="16">
        <v>3057061.4739464773</v>
      </c>
      <c r="J7" s="16">
        <v>2591135.211220867</v>
      </c>
      <c r="K7" s="16">
        <v>2196538.9754287773</v>
      </c>
      <c r="L7" s="16">
        <v>1862306.7903774844</v>
      </c>
      <c r="M7" s="16">
        <v>1579165.1186418075</v>
      </c>
      <c r="N7" s="16">
        <v>1339270.7190932329</v>
      </c>
      <c r="O7" s="16">
        <v>1135989.2413873319</v>
      </c>
      <c r="P7" s="16">
        <v>963708.20794292993</v>
      </c>
      <c r="Q7" s="16">
        <v>817679.02628226252</v>
      </c>
      <c r="R7" s="16">
        <v>693883.51147148595</v>
      </c>
      <c r="S7" s="16">
        <v>588921.10421459179</v>
      </c>
      <c r="T7" s="16">
        <v>499913.56548039266</v>
      </c>
      <c r="U7" s="16">
        <v>424424.43071636523</v>
      </c>
      <c r="V7" s="15"/>
    </row>
    <row r="8" spans="1:22" x14ac:dyDescent="0.35">
      <c r="A8" s="17" t="s">
        <v>333</v>
      </c>
      <c r="B8" s="16">
        <f>SUM(_xlfn.ANCHORARRAY(B7))</f>
        <v>62815930.15292412</v>
      </c>
      <c r="C8" s="23"/>
      <c r="D8" s="23"/>
      <c r="E8" s="23"/>
      <c r="F8" s="23"/>
      <c r="G8" s="23"/>
      <c r="H8" s="23"/>
      <c r="I8" s="23"/>
      <c r="J8" s="23"/>
      <c r="K8" s="23"/>
      <c r="L8" s="23"/>
      <c r="M8" s="23"/>
      <c r="N8" s="23"/>
      <c r="O8" s="23"/>
      <c r="P8" s="23"/>
      <c r="Q8" s="23"/>
      <c r="R8" s="23"/>
      <c r="S8" s="23"/>
      <c r="T8" s="23"/>
      <c r="U8" s="23"/>
      <c r="V8" s="15"/>
    </row>
    <row r="9" spans="1:22" x14ac:dyDescent="0.35">
      <c r="B9" s="23"/>
      <c r="C9" s="23"/>
      <c r="D9" s="23"/>
      <c r="E9" s="23"/>
      <c r="F9" s="23"/>
      <c r="G9" s="23"/>
      <c r="H9" s="23"/>
      <c r="I9" s="23"/>
      <c r="J9" s="23"/>
      <c r="K9" s="23"/>
      <c r="L9" s="23"/>
      <c r="M9" s="23"/>
      <c r="N9" s="23"/>
      <c r="O9" s="23"/>
      <c r="P9" s="23"/>
      <c r="Q9" s="23"/>
      <c r="R9" s="23"/>
      <c r="S9" s="23"/>
      <c r="T9" s="23"/>
      <c r="U9" s="23"/>
      <c r="V9" s="15"/>
    </row>
    <row r="11" spans="1:22" x14ac:dyDescent="0.35">
      <c r="A11" s="48" t="s">
        <v>335</v>
      </c>
      <c r="B11" s="48"/>
      <c r="C11" s="48"/>
      <c r="D11" s="48"/>
      <c r="E11" s="49"/>
      <c r="F11" s="49"/>
      <c r="G11" s="49"/>
      <c r="H11" s="49"/>
      <c r="I11" s="49"/>
      <c r="J11" s="49"/>
      <c r="K11" s="49"/>
      <c r="L11" s="49"/>
      <c r="M11" s="49"/>
      <c r="N11" s="49"/>
      <c r="O11" s="49"/>
      <c r="P11" s="49"/>
      <c r="Q11" s="49"/>
      <c r="R11" s="49"/>
      <c r="S11" s="49"/>
      <c r="T11" s="49"/>
      <c r="U11" s="49"/>
    </row>
    <row r="14" spans="1:22" x14ac:dyDescent="0.35">
      <c r="B14" s="52" cm="1">
        <f t="array" ref="B14:U14">years</f>
        <v>2018</v>
      </c>
      <c r="C14" s="52">
        <v>2019</v>
      </c>
      <c r="D14" s="52">
        <v>2020</v>
      </c>
      <c r="E14" s="52">
        <v>2021</v>
      </c>
      <c r="F14" s="52">
        <v>2022</v>
      </c>
      <c r="G14" s="52">
        <v>2023</v>
      </c>
      <c r="H14" s="52">
        <v>2024</v>
      </c>
      <c r="I14" s="52">
        <v>2025</v>
      </c>
      <c r="J14" s="52">
        <v>2026</v>
      </c>
      <c r="K14" s="52">
        <v>2027</v>
      </c>
      <c r="L14" s="52">
        <v>2028</v>
      </c>
      <c r="M14" s="52">
        <v>2029</v>
      </c>
      <c r="N14" s="52">
        <v>2030</v>
      </c>
      <c r="O14" s="52">
        <v>2031</v>
      </c>
      <c r="P14" s="52">
        <v>2032</v>
      </c>
      <c r="Q14" s="52">
        <v>2033</v>
      </c>
      <c r="R14" s="52">
        <v>2034</v>
      </c>
      <c r="S14" s="52">
        <v>2035</v>
      </c>
      <c r="T14" s="52">
        <v>2036</v>
      </c>
      <c r="U14" s="52">
        <v>2037</v>
      </c>
    </row>
    <row r="15" spans="1:22" x14ac:dyDescent="0.35">
      <c r="A15" s="17" t="str">
        <f>'5 Cost - opex'!$A$4</f>
        <v>Core network opex</v>
      </c>
      <c r="B15" s="16" cm="1">
        <f t="array" ref="B15:U15">core_costs_opex</f>
        <v>16879074.282684069</v>
      </c>
      <c r="C15" s="16">
        <v>17571116.32827412</v>
      </c>
      <c r="D15" s="16">
        <v>18150963.167107165</v>
      </c>
      <c r="E15" s="16">
        <v>18967756.509626988</v>
      </c>
      <c r="F15" s="16">
        <v>20276531.708791249</v>
      </c>
      <c r="G15" s="16">
        <v>21493123.611318722</v>
      </c>
      <c r="H15" s="16">
        <v>22567779.791884653</v>
      </c>
      <c r="I15" s="16">
        <v>23583329.882519461</v>
      </c>
      <c r="J15" s="16">
        <v>19791959.877327241</v>
      </c>
      <c r="K15" s="16">
        <v>20682598.071806967</v>
      </c>
      <c r="L15" s="16">
        <v>21613314.98503828</v>
      </c>
      <c r="M15" s="16">
        <v>22585914.159364998</v>
      </c>
      <c r="N15" s="16">
        <v>23602280.296536423</v>
      </c>
      <c r="O15" s="16">
        <v>24664382.909880571</v>
      </c>
      <c r="P15" s="16">
        <v>25774280.14082519</v>
      </c>
      <c r="Q15" s="16">
        <v>26934122.74716232</v>
      </c>
      <c r="R15" s="16">
        <v>28146158.270784628</v>
      </c>
      <c r="S15" s="16">
        <v>29412735.392969929</v>
      </c>
      <c r="T15" s="16">
        <v>30736308.485653572</v>
      </c>
      <c r="U15" s="16">
        <v>32119442.367507976</v>
      </c>
    </row>
    <row r="16" spans="1:22" x14ac:dyDescent="0.35">
      <c r="A16" s="17" t="s">
        <v>336</v>
      </c>
      <c r="B16" s="16" cm="1">
        <f t="array" ref="B16:U16">Depreciation_straightline</f>
        <v>25657740.986618787</v>
      </c>
      <c r="C16" s="16">
        <v>22450523.363291439</v>
      </c>
      <c r="D16" s="16">
        <v>19644207.942880008</v>
      </c>
      <c r="E16" s="16">
        <v>17188681.950020008</v>
      </c>
      <c r="F16" s="16">
        <v>15040096.706267506</v>
      </c>
      <c r="G16" s="16">
        <v>13160084.617984068</v>
      </c>
      <c r="H16" s="16">
        <v>11515074.040736059</v>
      </c>
      <c r="I16" s="16">
        <v>10075689.785644051</v>
      </c>
      <c r="J16" s="16">
        <v>32691998.469698735</v>
      </c>
      <c r="K16" s="16">
        <v>28605498.660986394</v>
      </c>
      <c r="L16" s="16">
        <v>25029811.328363094</v>
      </c>
      <c r="M16" s="16">
        <v>21901084.912317708</v>
      </c>
      <c r="N16" s="16">
        <v>19163449.298277996</v>
      </c>
      <c r="O16" s="16">
        <v>16768018.135993246</v>
      </c>
      <c r="P16" s="16">
        <v>14672015.868994091</v>
      </c>
      <c r="Q16" s="16">
        <v>12838013.88536983</v>
      </c>
      <c r="R16" s="16">
        <v>38898153.420151956</v>
      </c>
      <c r="S16" s="16">
        <v>34035884.242632963</v>
      </c>
      <c r="T16" s="16">
        <v>29781398.712303843</v>
      </c>
      <c r="U16" s="16">
        <v>26058723.873265862</v>
      </c>
    </row>
    <row r="17" spans="1:21" x14ac:dyDescent="0.35">
      <c r="A17" s="17" t="s">
        <v>337</v>
      </c>
      <c r="B17" s="16">
        <f>B15+B16</f>
        <v>42536815.26930286</v>
      </c>
      <c r="C17" s="16">
        <f t="shared" ref="C17:U17" si="0">C15+C16</f>
        <v>40021639.691565558</v>
      </c>
      <c r="D17" s="16">
        <f t="shared" si="0"/>
        <v>37795171.10998717</v>
      </c>
      <c r="E17" s="16">
        <f t="shared" si="0"/>
        <v>36156438.459647</v>
      </c>
      <c r="F17" s="16">
        <f t="shared" si="0"/>
        <v>35316628.415058754</v>
      </c>
      <c r="G17" s="16">
        <f t="shared" si="0"/>
        <v>34653208.229302794</v>
      </c>
      <c r="H17" s="16">
        <f t="shared" si="0"/>
        <v>34082853.83262071</v>
      </c>
      <c r="I17" s="16">
        <f t="shared" si="0"/>
        <v>33659019.668163508</v>
      </c>
      <c r="J17" s="16">
        <f t="shared" si="0"/>
        <v>52483958.347025976</v>
      </c>
      <c r="K17" s="16">
        <f t="shared" si="0"/>
        <v>49288096.732793361</v>
      </c>
      <c r="L17" s="16">
        <f t="shared" si="0"/>
        <v>46643126.313401371</v>
      </c>
      <c r="M17" s="16">
        <f t="shared" si="0"/>
        <v>44486999.071682706</v>
      </c>
      <c r="N17" s="16">
        <f t="shared" si="0"/>
        <v>42765729.59481442</v>
      </c>
      <c r="O17" s="16">
        <f t="shared" si="0"/>
        <v>41432401.045873821</v>
      </c>
      <c r="P17" s="16">
        <f t="shared" si="0"/>
        <v>40446296.009819284</v>
      </c>
      <c r="Q17" s="16">
        <f t="shared" si="0"/>
        <v>39772136.63253215</v>
      </c>
      <c r="R17" s="16">
        <f t="shared" si="0"/>
        <v>67044311.69093658</v>
      </c>
      <c r="S17" s="16">
        <f t="shared" si="0"/>
        <v>63448619.635602891</v>
      </c>
      <c r="T17" s="16">
        <f t="shared" si="0"/>
        <v>60517707.197957411</v>
      </c>
      <c r="U17" s="16">
        <f t="shared" si="0"/>
        <v>58178166.240773842</v>
      </c>
    </row>
    <row r="18" spans="1:21" x14ac:dyDescent="0.35">
      <c r="B18" s="23"/>
      <c r="C18" s="23"/>
      <c r="D18" s="23"/>
      <c r="E18" s="23"/>
      <c r="F18" s="23"/>
      <c r="G18" s="23"/>
      <c r="H18" s="23"/>
      <c r="I18" s="23"/>
      <c r="J18" s="23"/>
      <c r="K18" s="23"/>
      <c r="L18" s="23"/>
      <c r="M18" s="23"/>
      <c r="N18" s="23"/>
      <c r="O18" s="23"/>
      <c r="P18" s="23"/>
      <c r="Q18" s="23"/>
      <c r="R18" s="23"/>
      <c r="S18" s="23"/>
      <c r="T18" s="23"/>
      <c r="U18" s="23"/>
    </row>
    <row r="19" spans="1:21" x14ac:dyDescent="0.35">
      <c r="B19" s="23"/>
      <c r="C19" s="23"/>
      <c r="D19" s="23"/>
      <c r="E19" s="23"/>
      <c r="F19" s="23"/>
      <c r="G19" s="23"/>
      <c r="H19" s="23"/>
      <c r="I19" s="23"/>
      <c r="J19" s="23"/>
      <c r="K19" s="23"/>
      <c r="L19" s="23"/>
      <c r="M19" s="23"/>
      <c r="N19" s="23"/>
      <c r="O19" s="23"/>
      <c r="P19" s="23"/>
      <c r="Q19" s="23"/>
      <c r="R19" s="23"/>
      <c r="S19" s="23"/>
      <c r="T19" s="23"/>
      <c r="U19" s="23"/>
    </row>
    <row r="20" spans="1:21" x14ac:dyDescent="0.35">
      <c r="B20" s="23"/>
      <c r="C20" s="23"/>
      <c r="D20" s="23"/>
      <c r="E20" s="23"/>
      <c r="F20" s="23"/>
      <c r="G20" s="23"/>
      <c r="H20" s="23"/>
      <c r="I20" s="23"/>
      <c r="J20" s="23"/>
      <c r="K20" s="23"/>
      <c r="L20" s="23"/>
      <c r="M20" s="23"/>
      <c r="N20" s="23"/>
      <c r="O20" s="23"/>
      <c r="P20" s="23"/>
      <c r="Q20" s="23"/>
      <c r="R20" s="23"/>
      <c r="S20" s="23"/>
      <c r="T20" s="23"/>
      <c r="U20" s="23"/>
    </row>
    <row r="21" spans="1:21" x14ac:dyDescent="0.35">
      <c r="B21" s="23"/>
      <c r="C21" s="23"/>
      <c r="D21" s="23"/>
      <c r="E21" s="23"/>
      <c r="F21" s="23"/>
      <c r="G21" s="23"/>
      <c r="H21" s="23"/>
      <c r="I21" s="23"/>
      <c r="J21" s="23"/>
      <c r="K21" s="23"/>
      <c r="L21" s="23"/>
      <c r="M21" s="23"/>
      <c r="N21" s="23"/>
      <c r="O21" s="23"/>
      <c r="P21" s="23"/>
      <c r="Q21" s="23"/>
      <c r="R21" s="23"/>
      <c r="S21" s="23"/>
      <c r="T21" s="23"/>
      <c r="U21" s="2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063B0-E577-4947-BC13-798152C56848}">
  <sheetPr>
    <tabColor theme="3" tint="0.79998168889431442"/>
  </sheetPr>
  <dimension ref="B2:K23"/>
  <sheetViews>
    <sheetView workbookViewId="0">
      <selection activeCell="P30" sqref="P30"/>
    </sheetView>
  </sheetViews>
  <sheetFormatPr defaultColWidth="8.54296875" defaultRowHeight="14.5" x14ac:dyDescent="0.35"/>
  <cols>
    <col min="1" max="16384" width="8.54296875" style="12"/>
  </cols>
  <sheetData>
    <row r="2" spans="2:2" x14ac:dyDescent="0.35">
      <c r="B2" s="12" t="s">
        <v>174</v>
      </c>
    </row>
    <row r="23" spans="11:11" x14ac:dyDescent="0.35">
      <c r="K23" s="2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CEBA7-9990-4B9E-98CC-FDB471927638}">
  <dimension ref="A1:U57"/>
  <sheetViews>
    <sheetView zoomScale="93" zoomScaleNormal="93" workbookViewId="0">
      <selection activeCell="D6" sqref="D6"/>
    </sheetView>
  </sheetViews>
  <sheetFormatPr defaultColWidth="8.6328125" defaultRowHeight="14.5" x14ac:dyDescent="0.35"/>
  <cols>
    <col min="1" max="1" width="31.453125" style="12" customWidth="1"/>
    <col min="2" max="21" width="15.6328125" style="12" customWidth="1"/>
    <col min="22" max="16384" width="8.6328125" style="12"/>
  </cols>
  <sheetData>
    <row r="1" spans="1:21" ht="17" x14ac:dyDescent="0.4">
      <c r="A1" s="153" t="s">
        <v>175</v>
      </c>
      <c r="B1" s="49"/>
      <c r="C1" s="49"/>
    </row>
    <row r="3" spans="1:21" x14ac:dyDescent="0.35">
      <c r="A3" s="21" t="s">
        <v>176</v>
      </c>
    </row>
    <row r="4" spans="1:21" x14ac:dyDescent="0.35">
      <c r="A4" s="17" t="str" cm="1">
        <f t="array" ref="A4:A6">growth_scenarios</f>
        <v>Low growth scenario</v>
      </c>
      <c r="B4" s="131">
        <v>-5.0000000000000001E-3</v>
      </c>
    </row>
    <row r="5" spans="1:21" x14ac:dyDescent="0.35">
      <c r="A5" s="17" t="str">
        <v>Medium growth scenario</v>
      </c>
      <c r="B5" s="131">
        <v>0</v>
      </c>
    </row>
    <row r="6" spans="1:21" x14ac:dyDescent="0.35">
      <c r="A6" s="17" t="str">
        <v>High growth scenario</v>
      </c>
      <c r="B6" s="131">
        <v>5.0000000000000001E-3</v>
      </c>
    </row>
    <row r="7" spans="1:21" x14ac:dyDescent="0.35">
      <c r="B7" s="24"/>
    </row>
    <row r="8" spans="1:21" x14ac:dyDescent="0.35">
      <c r="A8" s="17" t="s">
        <v>177</v>
      </c>
      <c r="B8" s="131">
        <v>0.6</v>
      </c>
    </row>
    <row r="10" spans="1:21" x14ac:dyDescent="0.35">
      <c r="A10" s="48" t="s">
        <v>178</v>
      </c>
      <c r="B10" s="49"/>
      <c r="C10" s="49"/>
      <c r="D10" s="49"/>
      <c r="E10" s="49"/>
      <c r="F10" s="49"/>
      <c r="G10" s="49"/>
      <c r="H10" s="49"/>
      <c r="I10" s="49"/>
      <c r="J10" s="49"/>
      <c r="K10" s="49"/>
      <c r="L10" s="49"/>
      <c r="M10" s="49"/>
      <c r="N10" s="49"/>
      <c r="O10" s="49"/>
      <c r="P10" s="49"/>
      <c r="Q10" s="49"/>
      <c r="R10" s="49"/>
      <c r="S10" s="49"/>
      <c r="T10" s="49"/>
      <c r="U10" s="49"/>
    </row>
    <row r="11" spans="1:21" x14ac:dyDescent="0.35">
      <c r="A11" s="21"/>
    </row>
    <row r="12" spans="1:21" x14ac:dyDescent="0.35">
      <c r="A12" s="196"/>
      <c r="B12" s="52" cm="1">
        <f t="array" ref="B12:U12">years</f>
        <v>2018</v>
      </c>
      <c r="C12" s="52">
        <v>2019</v>
      </c>
      <c r="D12" s="52">
        <v>2020</v>
      </c>
      <c r="E12" s="52">
        <v>2021</v>
      </c>
      <c r="F12" s="52">
        <v>2022</v>
      </c>
      <c r="G12" s="52">
        <v>2023</v>
      </c>
      <c r="H12" s="52">
        <v>2024</v>
      </c>
      <c r="I12" s="52">
        <v>2025</v>
      </c>
      <c r="J12" s="52">
        <v>2026</v>
      </c>
      <c r="K12" s="52">
        <v>2027</v>
      </c>
      <c r="L12" s="52">
        <v>2028</v>
      </c>
      <c r="M12" s="52">
        <v>2029</v>
      </c>
      <c r="N12" s="52">
        <v>2030</v>
      </c>
      <c r="O12" s="52">
        <v>2031</v>
      </c>
      <c r="P12" s="52">
        <v>2032</v>
      </c>
      <c r="Q12" s="52">
        <v>2033</v>
      </c>
      <c r="R12" s="52">
        <v>2034</v>
      </c>
      <c r="S12" s="52">
        <v>2035</v>
      </c>
      <c r="T12" s="52">
        <v>2036</v>
      </c>
      <c r="U12" s="52">
        <v>2037</v>
      </c>
    </row>
    <row r="13" spans="1:21" x14ac:dyDescent="0.35">
      <c r="A13" s="17" t="str" cm="1">
        <f t="array" ref="A13:A15">growth_scenarios</f>
        <v>Low growth scenario</v>
      </c>
      <c r="B13" s="5">
        <f>ITU!D$6*$B$8</f>
        <v>3642630000</v>
      </c>
      <c r="C13" s="5">
        <f>ITU!E$6*$B$8</f>
        <v>3063954000</v>
      </c>
      <c r="D13" s="5">
        <f>ITU!F$6*$B$8</f>
        <v>2663016000</v>
      </c>
      <c r="E13" s="10">
        <f>ITU!G$6*$B$8</f>
        <v>2358228000</v>
      </c>
      <c r="F13" s="5">
        <f>E13*(1+$B$4)</f>
        <v>2346436860</v>
      </c>
      <c r="G13" s="5">
        <f t="shared" ref="G13" si="0">F13*(1+$B$4)</f>
        <v>2334704675.6999998</v>
      </c>
      <c r="H13" s="5">
        <f t="shared" ref="H13" si="1">G13*(1+$B$4)</f>
        <v>2323031152.3214998</v>
      </c>
      <c r="I13" s="5">
        <f t="shared" ref="I13" si="2">H13*(1+$B$4)</f>
        <v>2311415996.5598922</v>
      </c>
      <c r="J13" s="5">
        <f t="shared" ref="J13" si="3">I13*(1+$B$4)</f>
        <v>2299858916.5770926</v>
      </c>
      <c r="K13" s="5">
        <f t="shared" ref="K13" si="4">J13*(1+$B$4)</f>
        <v>2288359621.9942074</v>
      </c>
      <c r="L13" s="5">
        <f t="shared" ref="L13" si="5">K13*(1+$B$4)</f>
        <v>2276917823.8842363</v>
      </c>
      <c r="M13" s="5">
        <f t="shared" ref="M13" si="6">L13*(1+$B$4)</f>
        <v>2265533234.7648153</v>
      </c>
      <c r="N13" s="5">
        <f t="shared" ref="N13" si="7">M13*(1+$B$4)</f>
        <v>2254205568.590991</v>
      </c>
      <c r="O13" s="5">
        <f t="shared" ref="O13" si="8">N13*(1+$B$4)</f>
        <v>2242934540.7480359</v>
      </c>
      <c r="P13" s="5">
        <f t="shared" ref="P13" si="9">O13*(1+$B$4)</f>
        <v>2231719868.0442958</v>
      </c>
      <c r="Q13" s="5">
        <f t="shared" ref="Q13" si="10">P13*(1+$B$4)</f>
        <v>2220561268.7040744</v>
      </c>
      <c r="R13" s="5">
        <f t="shared" ref="R13" si="11">Q13*(1+$B$4)</f>
        <v>2209458462.3605542</v>
      </c>
      <c r="S13" s="5">
        <f t="shared" ref="S13" si="12">R13*(1+$B$4)</f>
        <v>2198411170.0487514</v>
      </c>
      <c r="T13" s="5">
        <f t="shared" ref="T13" si="13">S13*(1+$B$4)</f>
        <v>2187419114.1985078</v>
      </c>
      <c r="U13" s="5">
        <f t="shared" ref="U13" si="14">T13*(1+$B$4)</f>
        <v>2176482018.6275153</v>
      </c>
    </row>
    <row r="14" spans="1:21" x14ac:dyDescent="0.35">
      <c r="A14" s="17" t="str">
        <v>Medium growth scenario</v>
      </c>
      <c r="B14" s="5">
        <f>ITU!D$6*$B$8</f>
        <v>3642630000</v>
      </c>
      <c r="C14" s="5">
        <f>ITU!E$6*$B$8</f>
        <v>3063954000</v>
      </c>
      <c r="D14" s="5">
        <f>ITU!F$6*$B$8</f>
        <v>2663016000</v>
      </c>
      <c r="E14" s="5">
        <f>ITU!G$6*$B$8</f>
        <v>2358228000</v>
      </c>
      <c r="F14" s="5">
        <f>E14*(1+$B$5)</f>
        <v>2358228000</v>
      </c>
      <c r="G14" s="5">
        <f t="shared" ref="G14" si="15">F14*(1+$B$5)</f>
        <v>2358228000</v>
      </c>
      <c r="H14" s="5">
        <f t="shared" ref="H14" si="16">G14*(1+$B$5)</f>
        <v>2358228000</v>
      </c>
      <c r="I14" s="5">
        <f t="shared" ref="I14" si="17">H14*(1+$B$5)</f>
        <v>2358228000</v>
      </c>
      <c r="J14" s="5">
        <f t="shared" ref="J14" si="18">I14*(1+$B$5)</f>
        <v>2358228000</v>
      </c>
      <c r="K14" s="5">
        <f t="shared" ref="K14" si="19">J14*(1+$B$5)</f>
        <v>2358228000</v>
      </c>
      <c r="L14" s="5">
        <f t="shared" ref="L14" si="20">K14*(1+$B$5)</f>
        <v>2358228000</v>
      </c>
      <c r="M14" s="5">
        <f t="shared" ref="M14" si="21">L14*(1+$B$5)</f>
        <v>2358228000</v>
      </c>
      <c r="N14" s="5">
        <f t="shared" ref="N14" si="22">M14*(1+$B$5)</f>
        <v>2358228000</v>
      </c>
      <c r="O14" s="5">
        <f t="shared" ref="O14" si="23">N14*(1+$B$5)</f>
        <v>2358228000</v>
      </c>
      <c r="P14" s="5">
        <f t="shared" ref="P14" si="24">O14*(1+$B$5)</f>
        <v>2358228000</v>
      </c>
      <c r="Q14" s="5">
        <f t="shared" ref="Q14" si="25">P14*(1+$B$5)</f>
        <v>2358228000</v>
      </c>
      <c r="R14" s="5">
        <f t="shared" ref="R14" si="26">Q14*(1+$B$5)</f>
        <v>2358228000</v>
      </c>
      <c r="S14" s="5">
        <f t="shared" ref="S14" si="27">R14*(1+$B$5)</f>
        <v>2358228000</v>
      </c>
      <c r="T14" s="5">
        <f t="shared" ref="T14" si="28">S14*(1+$B$5)</f>
        <v>2358228000</v>
      </c>
      <c r="U14" s="5">
        <f t="shared" ref="U14" si="29">T14*(1+$B$5)</f>
        <v>2358228000</v>
      </c>
    </row>
    <row r="15" spans="1:21" x14ac:dyDescent="0.35">
      <c r="A15" s="17" t="str">
        <v>High growth scenario</v>
      </c>
      <c r="B15" s="5">
        <f>ITU!D$6*$B$8</f>
        <v>3642630000</v>
      </c>
      <c r="C15" s="5">
        <f>ITU!E$6*$B$8</f>
        <v>3063954000</v>
      </c>
      <c r="D15" s="5">
        <f>ITU!F$6*$B$8</f>
        <v>2663016000</v>
      </c>
      <c r="E15" s="5">
        <f>ITU!G$6*$B$8</f>
        <v>2358228000</v>
      </c>
      <c r="F15" s="5">
        <f>E15*(1+$B$6)</f>
        <v>2370019139.9999995</v>
      </c>
      <c r="G15" s="5">
        <f t="shared" ref="G15" si="30">F15*(1+$B$6)</f>
        <v>2381869235.6999993</v>
      </c>
      <c r="H15" s="5">
        <f t="shared" ref="H15" si="31">G15*(1+$B$6)</f>
        <v>2393778581.878499</v>
      </c>
      <c r="I15" s="5">
        <f t="shared" ref="I15" si="32">H15*(1+$B$6)</f>
        <v>2405747474.7878914</v>
      </c>
      <c r="J15" s="5">
        <f t="shared" ref="J15" si="33">I15*(1+$B$6)</f>
        <v>2417776212.1618304</v>
      </c>
      <c r="K15" s="5">
        <f t="shared" ref="K15" si="34">J15*(1+$B$6)</f>
        <v>2429865093.2226391</v>
      </c>
      <c r="L15" s="5">
        <f t="shared" ref="L15" si="35">K15*(1+$B$6)</f>
        <v>2442014418.6887522</v>
      </c>
      <c r="M15" s="5">
        <f t="shared" ref="M15" si="36">L15*(1+$B$6)</f>
        <v>2454224490.7821956</v>
      </c>
      <c r="N15" s="5">
        <f t="shared" ref="N15" si="37">M15*(1+$B$6)</f>
        <v>2466495613.2361064</v>
      </c>
      <c r="O15" s="5">
        <f t="shared" ref="O15" si="38">N15*(1+$B$6)</f>
        <v>2478828091.3022866</v>
      </c>
      <c r="P15" s="5">
        <f t="shared" ref="P15" si="39">O15*(1+$B$6)</f>
        <v>2491222231.7587976</v>
      </c>
      <c r="Q15" s="5">
        <f t="shared" ref="Q15" si="40">P15*(1+$B$6)</f>
        <v>2503678342.9175916</v>
      </c>
      <c r="R15" s="5">
        <f t="shared" ref="R15" si="41">Q15*(1+$B$6)</f>
        <v>2516196734.6321793</v>
      </c>
      <c r="S15" s="5">
        <f t="shared" ref="S15" si="42">R15*(1+$B$6)</f>
        <v>2528777718.3053398</v>
      </c>
      <c r="T15" s="5">
        <f t="shared" ref="T15" si="43">S15*(1+$B$6)</f>
        <v>2541421606.8968663</v>
      </c>
      <c r="U15" s="5">
        <f t="shared" ref="U15" si="44">T15*(1+$B$6)</f>
        <v>2554128714.9313502</v>
      </c>
    </row>
    <row r="17" spans="1:21" x14ac:dyDescent="0.35">
      <c r="A17" s="48" t="s">
        <v>325</v>
      </c>
      <c r="B17" s="49"/>
      <c r="C17" s="49"/>
      <c r="D17" s="49"/>
      <c r="E17" s="49"/>
      <c r="F17" s="49"/>
      <c r="G17" s="49"/>
      <c r="H17" s="49"/>
      <c r="I17" s="49"/>
      <c r="J17" s="49"/>
      <c r="K17" s="49"/>
      <c r="L17" s="49"/>
      <c r="M17" s="49"/>
      <c r="N17" s="49"/>
      <c r="O17" s="49"/>
      <c r="P17" s="49"/>
      <c r="Q17" s="49"/>
      <c r="R17" s="49"/>
      <c r="S17" s="49"/>
      <c r="T17" s="49"/>
      <c r="U17" s="49"/>
    </row>
    <row r="19" spans="1:21" x14ac:dyDescent="0.35">
      <c r="A19" s="196"/>
      <c r="B19" s="52" cm="1">
        <f t="array" ref="B19:U19">years</f>
        <v>2018</v>
      </c>
      <c r="C19" s="52">
        <v>2019</v>
      </c>
      <c r="D19" s="52">
        <v>2020</v>
      </c>
      <c r="E19" s="52">
        <v>2021</v>
      </c>
      <c r="F19" s="52">
        <v>2022</v>
      </c>
      <c r="G19" s="52">
        <v>2023</v>
      </c>
      <c r="H19" s="52">
        <v>2024</v>
      </c>
      <c r="I19" s="52">
        <v>2025</v>
      </c>
      <c r="J19" s="52">
        <v>2026</v>
      </c>
      <c r="K19" s="52">
        <v>2027</v>
      </c>
      <c r="L19" s="52">
        <v>2028</v>
      </c>
      <c r="M19" s="52">
        <v>2029</v>
      </c>
      <c r="N19" s="52">
        <v>2030</v>
      </c>
      <c r="O19" s="52">
        <v>2031</v>
      </c>
      <c r="P19" s="52">
        <v>2032</v>
      </c>
      <c r="Q19" s="52">
        <v>2033</v>
      </c>
      <c r="R19" s="52">
        <v>2034</v>
      </c>
      <c r="S19" s="52">
        <v>2035</v>
      </c>
      <c r="T19" s="52">
        <v>2036</v>
      </c>
      <c r="U19" s="52">
        <v>2037</v>
      </c>
    </row>
    <row r="20" spans="1:21" x14ac:dyDescent="0.35">
      <c r="A20" s="17" t="str" cm="1">
        <f t="array" ref="A20:A22">growth_scenarios</f>
        <v>Low growth scenario</v>
      </c>
      <c r="B20" s="5">
        <f>ITU!D$6*(1-$B$8)</f>
        <v>2428420000</v>
      </c>
      <c r="C20" s="5">
        <f>ITU!E$6*(1-$B$8)</f>
        <v>2042636000</v>
      </c>
      <c r="D20" s="5">
        <f>ITU!F$6*(1-$B$8)</f>
        <v>1775344000</v>
      </c>
      <c r="E20" s="5">
        <f>ITU!G$6*(1-$B$8)</f>
        <v>1572152000</v>
      </c>
      <c r="F20" s="5">
        <f>E20*(1+$B$4)</f>
        <v>1564291240</v>
      </c>
      <c r="G20" s="5">
        <f t="shared" ref="G20" si="45">F20*(1+$B$4)</f>
        <v>1556469783.8</v>
      </c>
      <c r="H20" s="5">
        <f t="shared" ref="H20" si="46">G20*(1+$B$4)</f>
        <v>1548687434.881</v>
      </c>
      <c r="I20" s="5">
        <f t="shared" ref="I20" si="47">H20*(1+$B$4)</f>
        <v>1540943997.7065949</v>
      </c>
      <c r="J20" s="5">
        <f t="shared" ref="J20" si="48">I20*(1+$B$4)</f>
        <v>1533239277.7180619</v>
      </c>
      <c r="K20" s="5">
        <f t="shared" ref="K20" si="49">J20*(1+$B$4)</f>
        <v>1525573081.3294716</v>
      </c>
      <c r="L20" s="5">
        <f t="shared" ref="L20" si="50">K20*(1+$B$4)</f>
        <v>1517945215.9228241</v>
      </c>
      <c r="M20" s="5">
        <f t="shared" ref="M20" si="51">L20*(1+$B$4)</f>
        <v>1510355489.84321</v>
      </c>
      <c r="N20" s="5">
        <f t="shared" ref="N20" si="52">M20*(1+$B$4)</f>
        <v>1502803712.3939939</v>
      </c>
      <c r="O20" s="5">
        <f t="shared" ref="O20" si="53">N20*(1+$B$4)</f>
        <v>1495289693.8320239</v>
      </c>
      <c r="P20" s="5">
        <f t="shared" ref="P20" si="54">O20*(1+$B$4)</f>
        <v>1487813245.3628638</v>
      </c>
      <c r="Q20" s="5">
        <f t="shared" ref="Q20" si="55">P20*(1+$B$4)</f>
        <v>1480374179.1360495</v>
      </c>
      <c r="R20" s="5">
        <f t="shared" ref="R20" si="56">Q20*(1+$B$4)</f>
        <v>1472972308.2403693</v>
      </c>
      <c r="S20" s="5">
        <f t="shared" ref="S20" si="57">R20*(1+$B$4)</f>
        <v>1465607446.6991675</v>
      </c>
      <c r="T20" s="5">
        <f t="shared" ref="T20" si="58">S20*(1+$B$4)</f>
        <v>1458279409.4656715</v>
      </c>
      <c r="U20" s="5">
        <f t="shared" ref="U20" si="59">T20*(1+$B$4)</f>
        <v>1450988012.4183431</v>
      </c>
    </row>
    <row r="21" spans="1:21" x14ac:dyDescent="0.35">
      <c r="A21" s="17" t="str">
        <v>Medium growth scenario</v>
      </c>
      <c r="B21" s="5">
        <f>ITU!D$6*(1-$B$8)</f>
        <v>2428420000</v>
      </c>
      <c r="C21" s="5">
        <f>ITU!E$6*(1-$B$8)</f>
        <v>2042636000</v>
      </c>
      <c r="D21" s="5">
        <f>ITU!F$6*(1-$B$8)</f>
        <v>1775344000</v>
      </c>
      <c r="E21" s="5">
        <f>ITU!G$6*(1-$B$8)</f>
        <v>1572152000</v>
      </c>
      <c r="F21" s="5">
        <f>E21*(1+$B$5)</f>
        <v>1572152000</v>
      </c>
      <c r="G21" s="5">
        <f t="shared" ref="G21" si="60">F21*(1+$B$5)</f>
        <v>1572152000</v>
      </c>
      <c r="H21" s="5">
        <f t="shared" ref="H21" si="61">G21*(1+$B$5)</f>
        <v>1572152000</v>
      </c>
      <c r="I21" s="5">
        <f t="shared" ref="I21" si="62">H21*(1+$B$5)</f>
        <v>1572152000</v>
      </c>
      <c r="J21" s="5">
        <f t="shared" ref="J21" si="63">I21*(1+$B$5)</f>
        <v>1572152000</v>
      </c>
      <c r="K21" s="5">
        <f t="shared" ref="K21" si="64">J21*(1+$B$5)</f>
        <v>1572152000</v>
      </c>
      <c r="L21" s="5">
        <f t="shared" ref="L21" si="65">K21*(1+$B$5)</f>
        <v>1572152000</v>
      </c>
      <c r="M21" s="5">
        <f t="shared" ref="M21" si="66">L21*(1+$B$5)</f>
        <v>1572152000</v>
      </c>
      <c r="N21" s="5">
        <f t="shared" ref="N21" si="67">M21*(1+$B$5)</f>
        <v>1572152000</v>
      </c>
      <c r="O21" s="5">
        <f t="shared" ref="O21" si="68">N21*(1+$B$5)</f>
        <v>1572152000</v>
      </c>
      <c r="P21" s="5">
        <f t="shared" ref="P21" si="69">O21*(1+$B$5)</f>
        <v>1572152000</v>
      </c>
      <c r="Q21" s="5">
        <f t="shared" ref="Q21" si="70">P21*(1+$B$5)</f>
        <v>1572152000</v>
      </c>
      <c r="R21" s="5">
        <f t="shared" ref="R21" si="71">Q21*(1+$B$5)</f>
        <v>1572152000</v>
      </c>
      <c r="S21" s="5">
        <f t="shared" ref="S21" si="72">R21*(1+$B$5)</f>
        <v>1572152000</v>
      </c>
      <c r="T21" s="5">
        <f t="shared" ref="T21" si="73">S21*(1+$B$5)</f>
        <v>1572152000</v>
      </c>
      <c r="U21" s="5">
        <f t="shared" ref="U21" si="74">T21*(1+$B$5)</f>
        <v>1572152000</v>
      </c>
    </row>
    <row r="22" spans="1:21" x14ac:dyDescent="0.35">
      <c r="A22" s="17" t="str">
        <v>High growth scenario</v>
      </c>
      <c r="B22" s="5">
        <f>ITU!D$6*(1-$B$8)</f>
        <v>2428420000</v>
      </c>
      <c r="C22" s="5">
        <f>ITU!E$6*(1-$B$8)</f>
        <v>2042636000</v>
      </c>
      <c r="D22" s="5">
        <f>ITU!F$6*(1-$B$8)</f>
        <v>1775344000</v>
      </c>
      <c r="E22" s="5">
        <f>ITU!G$6*(1-$B$8)</f>
        <v>1572152000</v>
      </c>
      <c r="F22" s="5">
        <f>E22*(1+$B$6)</f>
        <v>1580012759.9999998</v>
      </c>
      <c r="G22" s="5">
        <f t="shared" ref="G22" si="75">F22*(1+$B$6)</f>
        <v>1587912823.7999995</v>
      </c>
      <c r="H22" s="5">
        <f t="shared" ref="H22" si="76">G22*(1+$B$6)</f>
        <v>1595852387.9189992</v>
      </c>
      <c r="I22" s="5">
        <f t="shared" ref="I22" si="77">H22*(1+$B$6)</f>
        <v>1603831649.8585939</v>
      </c>
      <c r="J22" s="5">
        <f t="shared" ref="J22" si="78">I22*(1+$B$6)</f>
        <v>1611850808.1078868</v>
      </c>
      <c r="K22" s="5">
        <f t="shared" ref="K22" si="79">J22*(1+$B$6)</f>
        <v>1619910062.1484261</v>
      </c>
      <c r="L22" s="5">
        <f t="shared" ref="L22" si="80">K22*(1+$B$6)</f>
        <v>1628009612.459168</v>
      </c>
      <c r="M22" s="5">
        <f t="shared" ref="M22" si="81">L22*(1+$B$6)</f>
        <v>1636149660.5214636</v>
      </c>
      <c r="N22" s="5">
        <f t="shared" ref="N22" si="82">M22*(1+$B$6)</f>
        <v>1644330408.8240707</v>
      </c>
      <c r="O22" s="5">
        <f t="shared" ref="O22" si="83">N22*(1+$B$6)</f>
        <v>1652552060.8681908</v>
      </c>
      <c r="P22" s="5">
        <f t="shared" ref="P22" si="84">O22*(1+$B$6)</f>
        <v>1660814821.1725316</v>
      </c>
      <c r="Q22" s="5">
        <f t="shared" ref="Q22" si="85">P22*(1+$B$6)</f>
        <v>1669118895.278394</v>
      </c>
      <c r="R22" s="5">
        <f t="shared" ref="R22" si="86">Q22*(1+$B$6)</f>
        <v>1677464489.7547858</v>
      </c>
      <c r="S22" s="5">
        <f t="shared" ref="S22" si="87">R22*(1+$B$6)</f>
        <v>1685851812.2035596</v>
      </c>
      <c r="T22" s="5">
        <f t="shared" ref="T22" si="88">S22*(1+$B$6)</f>
        <v>1694281071.2645772</v>
      </c>
      <c r="U22" s="5">
        <f t="shared" ref="U22" si="89">T22*(1+$B$6)</f>
        <v>1702752476.6208999</v>
      </c>
    </row>
    <row r="24" spans="1:21" x14ac:dyDescent="0.35">
      <c r="A24" s="48" t="s">
        <v>179</v>
      </c>
      <c r="B24" s="49"/>
      <c r="C24" s="49"/>
      <c r="D24" s="49"/>
      <c r="E24" s="49"/>
      <c r="F24" s="49"/>
      <c r="G24" s="49"/>
      <c r="H24" s="49"/>
      <c r="I24" s="49"/>
      <c r="J24" s="49"/>
      <c r="K24" s="49"/>
      <c r="L24" s="49"/>
      <c r="M24" s="49"/>
      <c r="N24" s="49"/>
      <c r="O24" s="49"/>
      <c r="P24" s="49"/>
      <c r="Q24" s="49"/>
      <c r="R24" s="49"/>
      <c r="S24" s="49"/>
      <c r="T24" s="49"/>
      <c r="U24" s="49"/>
    </row>
    <row r="26" spans="1:21" x14ac:dyDescent="0.35">
      <c r="A26" s="196"/>
      <c r="B26" s="52">
        <f t="shared" ref="B26:U29" si="90">B19</f>
        <v>2018</v>
      </c>
      <c r="C26" s="52">
        <f t="shared" si="90"/>
        <v>2019</v>
      </c>
      <c r="D26" s="52">
        <f t="shared" si="90"/>
        <v>2020</v>
      </c>
      <c r="E26" s="52">
        <f t="shared" si="90"/>
        <v>2021</v>
      </c>
      <c r="F26" s="52">
        <f t="shared" si="90"/>
        <v>2022</v>
      </c>
      <c r="G26" s="52">
        <f t="shared" si="90"/>
        <v>2023</v>
      </c>
      <c r="H26" s="52">
        <f t="shared" si="90"/>
        <v>2024</v>
      </c>
      <c r="I26" s="52">
        <f t="shared" si="90"/>
        <v>2025</v>
      </c>
      <c r="J26" s="52">
        <f t="shared" si="90"/>
        <v>2026</v>
      </c>
      <c r="K26" s="52">
        <f t="shared" si="90"/>
        <v>2027</v>
      </c>
      <c r="L26" s="52">
        <f t="shared" si="90"/>
        <v>2028</v>
      </c>
      <c r="M26" s="52">
        <f t="shared" si="90"/>
        <v>2029</v>
      </c>
      <c r="N26" s="52">
        <f t="shared" si="90"/>
        <v>2030</v>
      </c>
      <c r="O26" s="52">
        <f t="shared" si="90"/>
        <v>2031</v>
      </c>
      <c r="P26" s="52">
        <f t="shared" si="90"/>
        <v>2032</v>
      </c>
      <c r="Q26" s="52">
        <f t="shared" si="90"/>
        <v>2033</v>
      </c>
      <c r="R26" s="52">
        <f t="shared" si="90"/>
        <v>2034</v>
      </c>
      <c r="S26" s="52">
        <f t="shared" si="90"/>
        <v>2035</v>
      </c>
      <c r="T26" s="52">
        <f t="shared" si="90"/>
        <v>2036</v>
      </c>
      <c r="U26" s="52">
        <f t="shared" si="90"/>
        <v>2037</v>
      </c>
    </row>
    <row r="27" spans="1:21" x14ac:dyDescent="0.35">
      <c r="A27" s="17" t="str">
        <f t="shared" ref="A27:P29" si="91">A20</f>
        <v>Low growth scenario</v>
      </c>
      <c r="B27" s="5">
        <f t="shared" si="91"/>
        <v>2428420000</v>
      </c>
      <c r="C27" s="5">
        <f t="shared" si="91"/>
        <v>2042636000</v>
      </c>
      <c r="D27" s="5">
        <f t="shared" si="91"/>
        <v>1775344000</v>
      </c>
      <c r="E27" s="5">
        <f t="shared" si="91"/>
        <v>1572152000</v>
      </c>
      <c r="F27" s="5">
        <f t="shared" si="91"/>
        <v>1564291240</v>
      </c>
      <c r="G27" s="5">
        <f t="shared" si="91"/>
        <v>1556469783.8</v>
      </c>
      <c r="H27" s="5">
        <f t="shared" si="91"/>
        <v>1548687434.881</v>
      </c>
      <c r="I27" s="5">
        <f t="shared" si="91"/>
        <v>1540943997.7065949</v>
      </c>
      <c r="J27" s="5">
        <f t="shared" si="91"/>
        <v>1533239277.7180619</v>
      </c>
      <c r="K27" s="5">
        <f t="shared" si="91"/>
        <v>1525573081.3294716</v>
      </c>
      <c r="L27" s="5">
        <f t="shared" si="91"/>
        <v>1517945215.9228241</v>
      </c>
      <c r="M27" s="5">
        <f t="shared" si="91"/>
        <v>1510355489.84321</v>
      </c>
      <c r="N27" s="5">
        <f t="shared" si="91"/>
        <v>1502803712.3939939</v>
      </c>
      <c r="O27" s="5">
        <f t="shared" si="91"/>
        <v>1495289693.8320239</v>
      </c>
      <c r="P27" s="5">
        <f t="shared" si="91"/>
        <v>1487813245.3628638</v>
      </c>
      <c r="Q27" s="5">
        <f t="shared" si="90"/>
        <v>1480374179.1360495</v>
      </c>
      <c r="R27" s="5">
        <f t="shared" si="90"/>
        <v>1472972308.2403693</v>
      </c>
      <c r="S27" s="5">
        <f t="shared" si="90"/>
        <v>1465607446.6991675</v>
      </c>
      <c r="T27" s="5">
        <f t="shared" si="90"/>
        <v>1458279409.4656715</v>
      </c>
      <c r="U27" s="5">
        <f t="shared" si="90"/>
        <v>1450988012.4183431</v>
      </c>
    </row>
    <row r="28" spans="1:21" x14ac:dyDescent="0.35">
      <c r="A28" s="17" t="str">
        <f t="shared" si="91"/>
        <v>Medium growth scenario</v>
      </c>
      <c r="B28" s="5">
        <f t="shared" si="90"/>
        <v>2428420000</v>
      </c>
      <c r="C28" s="5">
        <f t="shared" si="90"/>
        <v>2042636000</v>
      </c>
      <c r="D28" s="5">
        <f t="shared" si="90"/>
        <v>1775344000</v>
      </c>
      <c r="E28" s="5">
        <f t="shared" si="90"/>
        <v>1572152000</v>
      </c>
      <c r="F28" s="5">
        <f t="shared" si="90"/>
        <v>1572152000</v>
      </c>
      <c r="G28" s="5">
        <f t="shared" si="90"/>
        <v>1572152000</v>
      </c>
      <c r="H28" s="5">
        <f t="shared" si="90"/>
        <v>1572152000</v>
      </c>
      <c r="I28" s="5">
        <f t="shared" si="90"/>
        <v>1572152000</v>
      </c>
      <c r="J28" s="5">
        <f t="shared" si="90"/>
        <v>1572152000</v>
      </c>
      <c r="K28" s="5">
        <f t="shared" si="90"/>
        <v>1572152000</v>
      </c>
      <c r="L28" s="5">
        <f t="shared" si="90"/>
        <v>1572152000</v>
      </c>
      <c r="M28" s="5">
        <f t="shared" si="90"/>
        <v>1572152000</v>
      </c>
      <c r="N28" s="5">
        <f t="shared" si="90"/>
        <v>1572152000</v>
      </c>
      <c r="O28" s="5">
        <f t="shared" si="90"/>
        <v>1572152000</v>
      </c>
      <c r="P28" s="5">
        <f t="shared" si="90"/>
        <v>1572152000</v>
      </c>
      <c r="Q28" s="5">
        <f t="shared" si="90"/>
        <v>1572152000</v>
      </c>
      <c r="R28" s="5">
        <f t="shared" si="90"/>
        <v>1572152000</v>
      </c>
      <c r="S28" s="5">
        <f t="shared" si="90"/>
        <v>1572152000</v>
      </c>
      <c r="T28" s="5">
        <f t="shared" si="90"/>
        <v>1572152000</v>
      </c>
      <c r="U28" s="5">
        <f t="shared" si="90"/>
        <v>1572152000</v>
      </c>
    </row>
    <row r="29" spans="1:21" x14ac:dyDescent="0.35">
      <c r="A29" s="17" t="str">
        <f t="shared" si="91"/>
        <v>High growth scenario</v>
      </c>
      <c r="B29" s="5">
        <f t="shared" si="90"/>
        <v>2428420000</v>
      </c>
      <c r="C29" s="5">
        <f t="shared" si="90"/>
        <v>2042636000</v>
      </c>
      <c r="D29" s="5">
        <f t="shared" si="90"/>
        <v>1775344000</v>
      </c>
      <c r="E29" s="5">
        <f t="shared" si="90"/>
        <v>1572152000</v>
      </c>
      <c r="F29" s="5">
        <f t="shared" si="90"/>
        <v>1580012759.9999998</v>
      </c>
      <c r="G29" s="5">
        <f t="shared" si="90"/>
        <v>1587912823.7999995</v>
      </c>
      <c r="H29" s="5">
        <f t="shared" si="90"/>
        <v>1595852387.9189992</v>
      </c>
      <c r="I29" s="5">
        <f t="shared" si="90"/>
        <v>1603831649.8585939</v>
      </c>
      <c r="J29" s="5">
        <f t="shared" si="90"/>
        <v>1611850808.1078868</v>
      </c>
      <c r="K29" s="5">
        <f t="shared" si="90"/>
        <v>1619910062.1484261</v>
      </c>
      <c r="L29" s="5">
        <f t="shared" si="90"/>
        <v>1628009612.459168</v>
      </c>
      <c r="M29" s="5">
        <f t="shared" si="90"/>
        <v>1636149660.5214636</v>
      </c>
      <c r="N29" s="5">
        <f t="shared" si="90"/>
        <v>1644330408.8240707</v>
      </c>
      <c r="O29" s="5">
        <f t="shared" si="90"/>
        <v>1652552060.8681908</v>
      </c>
      <c r="P29" s="5">
        <f t="shared" si="90"/>
        <v>1660814821.1725316</v>
      </c>
      <c r="Q29" s="5">
        <f t="shared" si="90"/>
        <v>1669118895.278394</v>
      </c>
      <c r="R29" s="5">
        <f t="shared" si="90"/>
        <v>1677464489.7547858</v>
      </c>
      <c r="S29" s="5">
        <f t="shared" si="90"/>
        <v>1685851812.2035596</v>
      </c>
      <c r="T29" s="5">
        <f t="shared" si="90"/>
        <v>1694281071.2645772</v>
      </c>
      <c r="U29" s="5">
        <f t="shared" si="90"/>
        <v>1702752476.6208999</v>
      </c>
    </row>
    <row r="31" spans="1:21" x14ac:dyDescent="0.35">
      <c r="A31" s="48" t="str">
        <f>ITU!A7</f>
        <v>Fixed to Mobile Telephone traffic</v>
      </c>
      <c r="B31" s="49"/>
      <c r="C31" s="49"/>
      <c r="D31" s="49"/>
      <c r="E31" s="49"/>
      <c r="F31" s="49"/>
      <c r="G31" s="49"/>
      <c r="H31" s="49"/>
      <c r="I31" s="49"/>
      <c r="J31" s="49"/>
      <c r="K31" s="49"/>
      <c r="L31" s="49"/>
      <c r="M31" s="49"/>
      <c r="N31" s="49"/>
      <c r="O31" s="49"/>
      <c r="P31" s="49"/>
      <c r="Q31" s="49"/>
      <c r="R31" s="49"/>
      <c r="S31" s="49"/>
      <c r="T31" s="49"/>
      <c r="U31" s="49"/>
    </row>
    <row r="33" spans="1:21" x14ac:dyDescent="0.35">
      <c r="A33" s="196"/>
      <c r="B33" s="52" cm="1">
        <f t="array" ref="B33:U33">years</f>
        <v>2018</v>
      </c>
      <c r="C33" s="52">
        <v>2019</v>
      </c>
      <c r="D33" s="52">
        <v>2020</v>
      </c>
      <c r="E33" s="52">
        <v>2021</v>
      </c>
      <c r="F33" s="52">
        <v>2022</v>
      </c>
      <c r="G33" s="52">
        <v>2023</v>
      </c>
      <c r="H33" s="52">
        <v>2024</v>
      </c>
      <c r="I33" s="52">
        <v>2025</v>
      </c>
      <c r="J33" s="52">
        <v>2026</v>
      </c>
      <c r="K33" s="52">
        <v>2027</v>
      </c>
      <c r="L33" s="52">
        <v>2028</v>
      </c>
      <c r="M33" s="52">
        <v>2029</v>
      </c>
      <c r="N33" s="52">
        <v>2030</v>
      </c>
      <c r="O33" s="52">
        <v>2031</v>
      </c>
      <c r="P33" s="52">
        <v>2032</v>
      </c>
      <c r="Q33" s="52">
        <v>2033</v>
      </c>
      <c r="R33" s="52">
        <v>2034</v>
      </c>
      <c r="S33" s="52">
        <v>2035</v>
      </c>
      <c r="T33" s="52">
        <v>2036</v>
      </c>
      <c r="U33" s="52">
        <v>2037</v>
      </c>
    </row>
    <row r="34" spans="1:21" x14ac:dyDescent="0.35">
      <c r="A34" s="17" t="str" cm="1">
        <f t="array" ref="A34:A36">growth_scenarios</f>
        <v>Low growth scenario</v>
      </c>
      <c r="B34" s="5">
        <f>ITU!D$7</f>
        <v>8144270000</v>
      </c>
      <c r="C34" s="5">
        <f>ITU!E$7</f>
        <v>5948320000</v>
      </c>
      <c r="D34" s="5">
        <f>ITU!F$7</f>
        <v>6424540000</v>
      </c>
      <c r="E34" s="5">
        <f>ITU!G$7</f>
        <v>6026100000</v>
      </c>
      <c r="F34" s="5">
        <f>E34*(1+$B$4)</f>
        <v>5995969500</v>
      </c>
      <c r="G34" s="5">
        <f t="shared" ref="G34" si="92">F34*(1+$B$4)</f>
        <v>5965989652.5</v>
      </c>
      <c r="H34" s="5">
        <f t="shared" ref="H34" si="93">G34*(1+$B$4)</f>
        <v>5936159704.2375002</v>
      </c>
      <c r="I34" s="5">
        <f t="shared" ref="I34" si="94">H34*(1+$B$4)</f>
        <v>5906478905.7163124</v>
      </c>
      <c r="J34" s="5">
        <f t="shared" ref="J34" si="95">I34*(1+$B$4)</f>
        <v>5876946511.1877308</v>
      </c>
      <c r="K34" s="5">
        <f t="shared" ref="K34" si="96">J34*(1+$B$4)</f>
        <v>5847561778.6317921</v>
      </c>
      <c r="L34" s="5">
        <f t="shared" ref="L34" si="97">K34*(1+$B$4)</f>
        <v>5818323969.7386332</v>
      </c>
      <c r="M34" s="5">
        <f t="shared" ref="M34" si="98">L34*(1+$B$4)</f>
        <v>5789232349.8899403</v>
      </c>
      <c r="N34" s="5">
        <f t="shared" ref="N34" si="99">M34*(1+$B$4)</f>
        <v>5760286188.1404905</v>
      </c>
      <c r="O34" s="5">
        <f t="shared" ref="O34" si="100">N34*(1+$B$4)</f>
        <v>5731484757.1997881</v>
      </c>
      <c r="P34" s="5">
        <f t="shared" ref="P34" si="101">O34*(1+$B$4)</f>
        <v>5702827333.4137888</v>
      </c>
      <c r="Q34" s="5">
        <f t="shared" ref="Q34" si="102">P34*(1+$B$4)</f>
        <v>5674313196.7467194</v>
      </c>
      <c r="R34" s="5">
        <f t="shared" ref="R34" si="103">Q34*(1+$B$4)</f>
        <v>5645941630.7629862</v>
      </c>
      <c r="S34" s="5">
        <f t="shared" ref="S34" si="104">R34*(1+$B$4)</f>
        <v>5617711922.6091709</v>
      </c>
      <c r="T34" s="5">
        <f t="shared" ref="T34" si="105">S34*(1+$B$4)</f>
        <v>5589623362.9961252</v>
      </c>
      <c r="U34" s="5">
        <f t="shared" ref="U34" si="106">T34*(1+$B$4)</f>
        <v>5561675246.1811447</v>
      </c>
    </row>
    <row r="35" spans="1:21" x14ac:dyDescent="0.35">
      <c r="A35" s="17" t="str">
        <v>Medium growth scenario</v>
      </c>
      <c r="B35" s="5">
        <f>ITU!D$7</f>
        <v>8144270000</v>
      </c>
      <c r="C35" s="5">
        <f>ITU!E$7</f>
        <v>5948320000</v>
      </c>
      <c r="D35" s="5">
        <f>ITU!F$7</f>
        <v>6424540000</v>
      </c>
      <c r="E35" s="5">
        <f>ITU!G$7</f>
        <v>6026100000</v>
      </c>
      <c r="F35" s="5">
        <f>E35*(1+$B$5)</f>
        <v>6026100000</v>
      </c>
      <c r="G35" s="5">
        <f t="shared" ref="G35" si="107">F35*(1+$B$5)</f>
        <v>6026100000</v>
      </c>
      <c r="H35" s="5">
        <f t="shared" ref="H35" si="108">G35*(1+$B$5)</f>
        <v>6026100000</v>
      </c>
      <c r="I35" s="5">
        <f t="shared" ref="I35" si="109">H35*(1+$B$5)</f>
        <v>6026100000</v>
      </c>
      <c r="J35" s="5">
        <f t="shared" ref="J35" si="110">I35*(1+$B$5)</f>
        <v>6026100000</v>
      </c>
      <c r="K35" s="5">
        <f t="shared" ref="K35" si="111">J35*(1+$B$5)</f>
        <v>6026100000</v>
      </c>
      <c r="L35" s="5">
        <f t="shared" ref="L35" si="112">K35*(1+$B$5)</f>
        <v>6026100000</v>
      </c>
      <c r="M35" s="5">
        <f t="shared" ref="M35" si="113">L35*(1+$B$5)</f>
        <v>6026100000</v>
      </c>
      <c r="N35" s="5">
        <f t="shared" ref="N35" si="114">M35*(1+$B$5)</f>
        <v>6026100000</v>
      </c>
      <c r="O35" s="5">
        <f t="shared" ref="O35" si="115">N35*(1+$B$5)</f>
        <v>6026100000</v>
      </c>
      <c r="P35" s="5">
        <f t="shared" ref="P35" si="116">O35*(1+$B$5)</f>
        <v>6026100000</v>
      </c>
      <c r="Q35" s="5">
        <f t="shared" ref="Q35" si="117">P35*(1+$B$5)</f>
        <v>6026100000</v>
      </c>
      <c r="R35" s="5">
        <f t="shared" ref="R35" si="118">Q35*(1+$B$5)</f>
        <v>6026100000</v>
      </c>
      <c r="S35" s="5">
        <f t="shared" ref="S35" si="119">R35*(1+$B$5)</f>
        <v>6026100000</v>
      </c>
      <c r="T35" s="5">
        <f t="shared" ref="T35" si="120">S35*(1+$B$5)</f>
        <v>6026100000</v>
      </c>
      <c r="U35" s="5">
        <f t="shared" ref="U35" si="121">T35*(1+$B$5)</f>
        <v>6026100000</v>
      </c>
    </row>
    <row r="36" spans="1:21" x14ac:dyDescent="0.35">
      <c r="A36" s="17" t="str">
        <v>High growth scenario</v>
      </c>
      <c r="B36" s="5">
        <f>ITU!D$7</f>
        <v>8144270000</v>
      </c>
      <c r="C36" s="5">
        <f>ITU!E$7</f>
        <v>5948320000</v>
      </c>
      <c r="D36" s="5">
        <f>ITU!F$7</f>
        <v>6424540000</v>
      </c>
      <c r="E36" s="5">
        <f>ITU!G$7</f>
        <v>6026100000</v>
      </c>
      <c r="F36" s="5">
        <f>E36*(1+$B$6)</f>
        <v>6056230499.999999</v>
      </c>
      <c r="G36" s="5">
        <f t="shared" ref="G36" si="122">F36*(1+$B$6)</f>
        <v>6086511652.4999981</v>
      </c>
      <c r="H36" s="5">
        <f t="shared" ref="H36" si="123">G36*(1+$B$6)</f>
        <v>6116944210.7624979</v>
      </c>
      <c r="I36" s="5">
        <f t="shared" ref="I36" si="124">H36*(1+$B$6)</f>
        <v>6147528931.8163099</v>
      </c>
      <c r="J36" s="5">
        <f t="shared" ref="J36" si="125">I36*(1+$B$6)</f>
        <v>6178266576.4753904</v>
      </c>
      <c r="K36" s="5">
        <f t="shared" ref="K36" si="126">J36*(1+$B$6)</f>
        <v>6209157909.3577671</v>
      </c>
      <c r="L36" s="5">
        <f t="shared" ref="L36" si="127">K36*(1+$B$6)</f>
        <v>6240203698.9045553</v>
      </c>
      <c r="M36" s="5">
        <f t="shared" ref="M36" si="128">L36*(1+$B$6)</f>
        <v>6271404717.3990774</v>
      </c>
      <c r="N36" s="5">
        <f t="shared" ref="N36" si="129">M36*(1+$B$6)</f>
        <v>6302761740.9860725</v>
      </c>
      <c r="O36" s="5">
        <f t="shared" ref="O36" si="130">N36*(1+$B$6)</f>
        <v>6334275549.6910019</v>
      </c>
      <c r="P36" s="5">
        <f t="shared" ref="P36" si="131">O36*(1+$B$6)</f>
        <v>6365946927.439456</v>
      </c>
      <c r="Q36" s="5">
        <f t="shared" ref="Q36" si="132">P36*(1+$B$6)</f>
        <v>6397776662.0766525</v>
      </c>
      <c r="R36" s="5">
        <f t="shared" ref="R36" si="133">Q36*(1+$B$6)</f>
        <v>6429765545.3870354</v>
      </c>
      <c r="S36" s="5">
        <f t="shared" ref="S36" si="134">R36*(1+$B$6)</f>
        <v>6461914373.1139698</v>
      </c>
      <c r="T36" s="5">
        <f t="shared" ref="T36" si="135">S36*(1+$B$6)</f>
        <v>6494223944.9795389</v>
      </c>
      <c r="U36" s="5">
        <f t="shared" ref="U36" si="136">T36*(1+$B$6)</f>
        <v>6526695064.7044363</v>
      </c>
    </row>
    <row r="38" spans="1:21" x14ac:dyDescent="0.35">
      <c r="A38" s="48" t="str">
        <f>ITU!A11</f>
        <v>Outgoing mobile traffic to fixed networks</v>
      </c>
      <c r="B38" s="49"/>
      <c r="C38" s="49"/>
      <c r="D38" s="49"/>
      <c r="E38" s="49"/>
      <c r="F38" s="49"/>
      <c r="G38" s="49"/>
      <c r="H38" s="49"/>
      <c r="I38" s="49"/>
      <c r="J38" s="49"/>
      <c r="K38" s="49"/>
      <c r="L38" s="49"/>
      <c r="M38" s="49"/>
      <c r="N38" s="49"/>
      <c r="O38" s="49"/>
      <c r="P38" s="49"/>
      <c r="Q38" s="49"/>
      <c r="R38" s="49"/>
      <c r="S38" s="49"/>
      <c r="T38" s="49"/>
      <c r="U38" s="49"/>
    </row>
    <row r="40" spans="1:21" x14ac:dyDescent="0.35">
      <c r="A40" s="196"/>
      <c r="B40" s="52" cm="1">
        <f t="array" ref="B40:U40">years</f>
        <v>2018</v>
      </c>
      <c r="C40" s="52">
        <v>2019</v>
      </c>
      <c r="D40" s="52">
        <v>2020</v>
      </c>
      <c r="E40" s="52">
        <v>2021</v>
      </c>
      <c r="F40" s="52">
        <v>2022</v>
      </c>
      <c r="G40" s="52">
        <v>2023</v>
      </c>
      <c r="H40" s="52">
        <v>2024</v>
      </c>
      <c r="I40" s="52">
        <v>2025</v>
      </c>
      <c r="J40" s="52">
        <v>2026</v>
      </c>
      <c r="K40" s="52">
        <v>2027</v>
      </c>
      <c r="L40" s="52">
        <v>2028</v>
      </c>
      <c r="M40" s="52">
        <v>2029</v>
      </c>
      <c r="N40" s="52">
        <v>2030</v>
      </c>
      <c r="O40" s="52">
        <v>2031</v>
      </c>
      <c r="P40" s="52">
        <v>2032</v>
      </c>
      <c r="Q40" s="52">
        <v>2033</v>
      </c>
      <c r="R40" s="52">
        <v>2034</v>
      </c>
      <c r="S40" s="52">
        <v>2035</v>
      </c>
      <c r="T40" s="52">
        <v>2036</v>
      </c>
      <c r="U40" s="52">
        <v>2037</v>
      </c>
    </row>
    <row r="41" spans="1:21" x14ac:dyDescent="0.35">
      <c r="A41" s="17" t="str" cm="1">
        <f t="array" ref="A41:A43">growth_scenarios</f>
        <v>Low growth scenario</v>
      </c>
      <c r="B41" s="4">
        <f>ITU!D11</f>
        <v>2366640000</v>
      </c>
      <c r="C41" s="4">
        <f>ITU!E11</f>
        <v>2463320000</v>
      </c>
      <c r="D41" s="4">
        <f>ITU!F11</f>
        <v>2945570000</v>
      </c>
      <c r="E41" s="4">
        <f>ITU!G11</f>
        <v>2744210000</v>
      </c>
      <c r="F41" s="5">
        <f>E41*(1+$B$4)</f>
        <v>2730488950</v>
      </c>
      <c r="G41" s="5">
        <f t="shared" ref="G41" si="137">F41*(1+$B$4)</f>
        <v>2716836505.25</v>
      </c>
      <c r="H41" s="5">
        <f t="shared" ref="H41" si="138">G41*(1+$B$4)</f>
        <v>2703252322.7237501</v>
      </c>
      <c r="I41" s="5">
        <f t="shared" ref="I41" si="139">H41*(1+$B$4)</f>
        <v>2689736061.1101313</v>
      </c>
      <c r="J41" s="5">
        <f t="shared" ref="J41" si="140">I41*(1+$B$4)</f>
        <v>2676287380.8045807</v>
      </c>
      <c r="K41" s="5">
        <f t="shared" ref="K41" si="141">J41*(1+$B$4)</f>
        <v>2662905943.900558</v>
      </c>
      <c r="L41" s="5">
        <f t="shared" ref="L41" si="142">K41*(1+$B$4)</f>
        <v>2649591414.1810551</v>
      </c>
      <c r="M41" s="5">
        <f t="shared" ref="M41" si="143">L41*(1+$B$4)</f>
        <v>2636343457.1101499</v>
      </c>
      <c r="N41" s="5">
        <f t="shared" ref="N41" si="144">M41*(1+$B$4)</f>
        <v>2623161739.8245993</v>
      </c>
      <c r="O41" s="5">
        <f t="shared" ref="O41" si="145">N41*(1+$B$4)</f>
        <v>2610045931.1254764</v>
      </c>
      <c r="P41" s="5">
        <f t="shared" ref="P41" si="146">O41*(1+$B$4)</f>
        <v>2596995701.4698491</v>
      </c>
      <c r="Q41" s="5">
        <f t="shared" ref="Q41" si="147">P41*(1+$B$4)</f>
        <v>2584010722.9624996</v>
      </c>
      <c r="R41" s="5">
        <f t="shared" ref="R41" si="148">Q41*(1+$B$4)</f>
        <v>2571090669.3476872</v>
      </c>
      <c r="S41" s="5">
        <f t="shared" ref="S41" si="149">R41*(1+$B$4)</f>
        <v>2558235216.0009489</v>
      </c>
      <c r="T41" s="5">
        <f t="shared" ref="T41" si="150">S41*(1+$B$4)</f>
        <v>2545444039.9209442</v>
      </c>
      <c r="U41" s="5">
        <f t="shared" ref="U41" si="151">T41*(1+$B$4)</f>
        <v>2532716819.7213397</v>
      </c>
    </row>
    <row r="42" spans="1:21" x14ac:dyDescent="0.35">
      <c r="A42" s="17" t="str">
        <v>Medium growth scenario</v>
      </c>
      <c r="B42" s="4">
        <f>ITU!D$11</f>
        <v>2366640000</v>
      </c>
      <c r="C42" s="4">
        <f>ITU!E$11</f>
        <v>2463320000</v>
      </c>
      <c r="D42" s="4">
        <f>ITU!F$11</f>
        <v>2945570000</v>
      </c>
      <c r="E42" s="4">
        <f>ITU!G$11</f>
        <v>2744210000</v>
      </c>
      <c r="F42" s="5">
        <f>E42*(1+$B$5)</f>
        <v>2744210000</v>
      </c>
      <c r="G42" s="5">
        <f t="shared" ref="G42" si="152">F42*(1+$B$5)</f>
        <v>2744210000</v>
      </c>
      <c r="H42" s="5">
        <f t="shared" ref="H42" si="153">G42*(1+$B$5)</f>
        <v>2744210000</v>
      </c>
      <c r="I42" s="5">
        <f t="shared" ref="I42" si="154">H42*(1+$B$5)</f>
        <v>2744210000</v>
      </c>
      <c r="J42" s="5">
        <f t="shared" ref="J42" si="155">I42*(1+$B$5)</f>
        <v>2744210000</v>
      </c>
      <c r="K42" s="5">
        <f t="shared" ref="K42" si="156">J42*(1+$B$5)</f>
        <v>2744210000</v>
      </c>
      <c r="L42" s="5">
        <f t="shared" ref="L42" si="157">K42*(1+$B$5)</f>
        <v>2744210000</v>
      </c>
      <c r="M42" s="5">
        <f t="shared" ref="M42" si="158">L42*(1+$B$5)</f>
        <v>2744210000</v>
      </c>
      <c r="N42" s="5">
        <f t="shared" ref="N42" si="159">M42*(1+$B$5)</f>
        <v>2744210000</v>
      </c>
      <c r="O42" s="5">
        <f t="shared" ref="O42" si="160">N42*(1+$B$5)</f>
        <v>2744210000</v>
      </c>
      <c r="P42" s="5">
        <f t="shared" ref="P42" si="161">O42*(1+$B$5)</f>
        <v>2744210000</v>
      </c>
      <c r="Q42" s="5">
        <f t="shared" ref="Q42" si="162">P42*(1+$B$5)</f>
        <v>2744210000</v>
      </c>
      <c r="R42" s="5">
        <f t="shared" ref="R42" si="163">Q42*(1+$B$5)</f>
        <v>2744210000</v>
      </c>
      <c r="S42" s="5">
        <f t="shared" ref="S42" si="164">R42*(1+$B$5)</f>
        <v>2744210000</v>
      </c>
      <c r="T42" s="5">
        <f t="shared" ref="T42" si="165">S42*(1+$B$5)</f>
        <v>2744210000</v>
      </c>
      <c r="U42" s="5">
        <f t="shared" ref="U42" si="166">T42*(1+$B$5)</f>
        <v>2744210000</v>
      </c>
    </row>
    <row r="43" spans="1:21" x14ac:dyDescent="0.35">
      <c r="A43" s="17" t="str">
        <v>High growth scenario</v>
      </c>
      <c r="B43" s="4">
        <f>ITU!D$11</f>
        <v>2366640000</v>
      </c>
      <c r="C43" s="4">
        <f>ITU!E$11</f>
        <v>2463320000</v>
      </c>
      <c r="D43" s="4">
        <f>ITU!F$11</f>
        <v>2945570000</v>
      </c>
      <c r="E43" s="4">
        <f>ITU!G$11</f>
        <v>2744210000</v>
      </c>
      <c r="F43" s="5">
        <f>E43*(1+$B$6)</f>
        <v>2757931049.9999995</v>
      </c>
      <c r="G43" s="5">
        <f t="shared" ref="G43" si="167">F43*(1+$B$6)</f>
        <v>2771720705.249999</v>
      </c>
      <c r="H43" s="5">
        <f t="shared" ref="H43" si="168">G43*(1+$B$6)</f>
        <v>2785579308.7762489</v>
      </c>
      <c r="I43" s="5">
        <f t="shared" ref="I43" si="169">H43*(1+$B$6)</f>
        <v>2799507205.3201299</v>
      </c>
      <c r="J43" s="5">
        <f t="shared" ref="J43" si="170">I43*(1+$B$6)</f>
        <v>2813504741.3467302</v>
      </c>
      <c r="K43" s="5">
        <f t="shared" ref="K43" si="171">J43*(1+$B$6)</f>
        <v>2827572265.0534635</v>
      </c>
      <c r="L43" s="5">
        <f t="shared" ref="L43" si="172">K43*(1+$B$6)</f>
        <v>2841710126.3787303</v>
      </c>
      <c r="M43" s="5">
        <f t="shared" ref="M43" si="173">L43*(1+$B$6)</f>
        <v>2855918677.0106235</v>
      </c>
      <c r="N43" s="5">
        <f t="shared" ref="N43" si="174">M43*(1+$B$6)</f>
        <v>2870198270.3956761</v>
      </c>
      <c r="O43" s="5">
        <f t="shared" ref="O43" si="175">N43*(1+$B$6)</f>
        <v>2884549261.7476544</v>
      </c>
      <c r="P43" s="5">
        <f t="shared" ref="P43" si="176">O43*(1+$B$6)</f>
        <v>2898972008.0563922</v>
      </c>
      <c r="Q43" s="5">
        <f t="shared" ref="Q43" si="177">P43*(1+$B$6)</f>
        <v>2913466868.096674</v>
      </c>
      <c r="R43" s="5">
        <f t="shared" ref="R43" si="178">Q43*(1+$B$6)</f>
        <v>2928034202.4371572</v>
      </c>
      <c r="S43" s="5">
        <f t="shared" ref="S43" si="179">R43*(1+$B$6)</f>
        <v>2942674373.4493427</v>
      </c>
      <c r="T43" s="5">
        <f t="shared" ref="T43" si="180">S43*(1+$B$6)</f>
        <v>2957387745.3165894</v>
      </c>
      <c r="U43" s="5">
        <f t="shared" ref="U43" si="181">T43*(1+$B$6)</f>
        <v>2972174684.0431719</v>
      </c>
    </row>
    <row r="45" spans="1:21" x14ac:dyDescent="0.35">
      <c r="A45" s="48" t="str">
        <f>ITU!A8</f>
        <v xml:space="preserve">International incoming fixed telephone traffic </v>
      </c>
      <c r="B45" s="49"/>
      <c r="C45" s="49"/>
      <c r="D45" s="49"/>
      <c r="E45" s="49"/>
      <c r="F45" s="49"/>
      <c r="G45" s="49"/>
      <c r="H45" s="49"/>
      <c r="I45" s="49"/>
      <c r="J45" s="49"/>
      <c r="K45" s="49"/>
      <c r="L45" s="49"/>
      <c r="M45" s="49"/>
      <c r="N45" s="49"/>
      <c r="O45" s="49"/>
      <c r="P45" s="49"/>
      <c r="Q45" s="49"/>
      <c r="R45" s="49"/>
      <c r="S45" s="49"/>
      <c r="T45" s="49"/>
      <c r="U45" s="49"/>
    </row>
    <row r="46" spans="1:21" x14ac:dyDescent="0.35">
      <c r="A46" s="21"/>
    </row>
    <row r="47" spans="1:21" x14ac:dyDescent="0.35">
      <c r="A47" s="196"/>
      <c r="B47" s="52" cm="1">
        <f t="array" ref="B47:U47">years</f>
        <v>2018</v>
      </c>
      <c r="C47" s="52">
        <v>2019</v>
      </c>
      <c r="D47" s="52">
        <v>2020</v>
      </c>
      <c r="E47" s="52">
        <v>2021</v>
      </c>
      <c r="F47" s="52">
        <v>2022</v>
      </c>
      <c r="G47" s="52">
        <v>2023</v>
      </c>
      <c r="H47" s="52">
        <v>2024</v>
      </c>
      <c r="I47" s="52">
        <v>2025</v>
      </c>
      <c r="J47" s="52">
        <v>2026</v>
      </c>
      <c r="K47" s="52">
        <v>2027</v>
      </c>
      <c r="L47" s="52">
        <v>2028</v>
      </c>
      <c r="M47" s="52">
        <v>2029</v>
      </c>
      <c r="N47" s="52">
        <v>2030</v>
      </c>
      <c r="O47" s="52">
        <v>2031</v>
      </c>
      <c r="P47" s="52">
        <v>2032</v>
      </c>
      <c r="Q47" s="52">
        <v>2033</v>
      </c>
      <c r="R47" s="52">
        <v>2034</v>
      </c>
      <c r="S47" s="52">
        <v>2035</v>
      </c>
      <c r="T47" s="52">
        <v>2036</v>
      </c>
      <c r="U47" s="52">
        <v>2037</v>
      </c>
    </row>
    <row r="48" spans="1:21" x14ac:dyDescent="0.35">
      <c r="A48" s="17" t="str" cm="1">
        <f t="array" ref="A48:A50">growth_scenarios</f>
        <v>Low growth scenario</v>
      </c>
      <c r="B48" s="5">
        <f>ITU!D$8</f>
        <v>360749000</v>
      </c>
      <c r="C48" s="5">
        <f>ITU!E$8</f>
        <v>158098000</v>
      </c>
      <c r="D48" s="5">
        <f>ITU!F$8</f>
        <v>103175000</v>
      </c>
      <c r="E48" s="5">
        <f>ITU!G$8</f>
        <v>45128600</v>
      </c>
      <c r="F48" s="5">
        <f>E48*(1+$B$4)</f>
        <v>44902957</v>
      </c>
      <c r="G48" s="5">
        <f t="shared" ref="G48" si="182">F48*(1+$B$4)</f>
        <v>44678442.214999996</v>
      </c>
      <c r="H48" s="5">
        <f t="shared" ref="H48" si="183">G48*(1+$B$4)</f>
        <v>44455050.003924996</v>
      </c>
      <c r="I48" s="5">
        <f t="shared" ref="I48" si="184">H48*(1+$B$4)</f>
        <v>44232774.753905371</v>
      </c>
      <c r="J48" s="5">
        <f t="shared" ref="J48" si="185">I48*(1+$B$4)</f>
        <v>44011610.880135842</v>
      </c>
      <c r="K48" s="5">
        <f t="shared" ref="K48" si="186">J48*(1+$B$4)</f>
        <v>43791552.825735159</v>
      </c>
      <c r="L48" s="5">
        <f t="shared" ref="L48" si="187">K48*(1+$B$4)</f>
        <v>43572595.061606482</v>
      </c>
      <c r="M48" s="5">
        <f t="shared" ref="M48" si="188">L48*(1+$B$4)</f>
        <v>43354732.086298451</v>
      </c>
      <c r="N48" s="5">
        <f t="shared" ref="N48" si="189">M48*(1+$B$4)</f>
        <v>43137958.425866961</v>
      </c>
      <c r="O48" s="5">
        <f t="shared" ref="O48" si="190">N48*(1+$B$4)</f>
        <v>42922268.633737624</v>
      </c>
      <c r="P48" s="5">
        <f t="shared" ref="P48" si="191">O48*(1+$B$4)</f>
        <v>42707657.290568933</v>
      </c>
      <c r="Q48" s="5">
        <f t="shared" ref="Q48" si="192">P48*(1+$B$4)</f>
        <v>42494119.004116088</v>
      </c>
      <c r="R48" s="5">
        <f t="shared" ref="R48" si="193">Q48*(1+$B$4)</f>
        <v>42281648.409095511</v>
      </c>
      <c r="S48" s="5">
        <f t="shared" ref="S48" si="194">R48*(1+$B$4)</f>
        <v>42070240.167050034</v>
      </c>
      <c r="T48" s="5">
        <f t="shared" ref="T48" si="195">S48*(1+$B$4)</f>
        <v>41859888.966214783</v>
      </c>
      <c r="U48" s="5">
        <f t="shared" ref="U48" si="196">T48*(1+$B$4)</f>
        <v>41650589.52138371</v>
      </c>
    </row>
    <row r="49" spans="1:21" x14ac:dyDescent="0.35">
      <c r="A49" s="17" t="str">
        <v>Medium growth scenario</v>
      </c>
      <c r="B49" s="5">
        <f>ITU!D$8</f>
        <v>360749000</v>
      </c>
      <c r="C49" s="5">
        <f>ITU!E$8</f>
        <v>158098000</v>
      </c>
      <c r="D49" s="5">
        <f>ITU!F$8</f>
        <v>103175000</v>
      </c>
      <c r="E49" s="5">
        <f>ITU!G$8</f>
        <v>45128600</v>
      </c>
      <c r="F49" s="5">
        <f>E49*(1+$B$5)</f>
        <v>45128600</v>
      </c>
      <c r="G49" s="5">
        <f t="shared" ref="G49" si="197">F49*(1+$B$5)</f>
        <v>45128600</v>
      </c>
      <c r="H49" s="5">
        <f t="shared" ref="H49" si="198">G49*(1+$B$5)</f>
        <v>45128600</v>
      </c>
      <c r="I49" s="5">
        <f t="shared" ref="I49" si="199">H49*(1+$B$5)</f>
        <v>45128600</v>
      </c>
      <c r="J49" s="5">
        <f t="shared" ref="J49" si="200">I49*(1+$B$5)</f>
        <v>45128600</v>
      </c>
      <c r="K49" s="5">
        <f t="shared" ref="K49" si="201">J49*(1+$B$5)</f>
        <v>45128600</v>
      </c>
      <c r="L49" s="5">
        <f t="shared" ref="L49" si="202">K49*(1+$B$5)</f>
        <v>45128600</v>
      </c>
      <c r="M49" s="5">
        <f t="shared" ref="M49" si="203">L49*(1+$B$5)</f>
        <v>45128600</v>
      </c>
      <c r="N49" s="5">
        <f t="shared" ref="N49" si="204">M49*(1+$B$5)</f>
        <v>45128600</v>
      </c>
      <c r="O49" s="5">
        <f t="shared" ref="O49" si="205">N49*(1+$B$5)</f>
        <v>45128600</v>
      </c>
      <c r="P49" s="5">
        <f t="shared" ref="P49" si="206">O49*(1+$B$5)</f>
        <v>45128600</v>
      </c>
      <c r="Q49" s="5">
        <f t="shared" ref="Q49" si="207">P49*(1+$B$5)</f>
        <v>45128600</v>
      </c>
      <c r="R49" s="5">
        <f t="shared" ref="R49" si="208">Q49*(1+$B$5)</f>
        <v>45128600</v>
      </c>
      <c r="S49" s="5">
        <f t="shared" ref="S49" si="209">R49*(1+$B$5)</f>
        <v>45128600</v>
      </c>
      <c r="T49" s="5">
        <f t="shared" ref="T49" si="210">S49*(1+$B$5)</f>
        <v>45128600</v>
      </c>
      <c r="U49" s="5">
        <f t="shared" ref="U49" si="211">T49*(1+$B$5)</f>
        <v>45128600</v>
      </c>
    </row>
    <row r="50" spans="1:21" x14ac:dyDescent="0.35">
      <c r="A50" s="17" t="str">
        <v>High growth scenario</v>
      </c>
      <c r="B50" s="5">
        <f>ITU!D$8</f>
        <v>360749000</v>
      </c>
      <c r="C50" s="5">
        <f>ITU!E$8</f>
        <v>158098000</v>
      </c>
      <c r="D50" s="5">
        <f>ITU!F$8</f>
        <v>103175000</v>
      </c>
      <c r="E50" s="5">
        <f>ITU!G$8</f>
        <v>45128600</v>
      </c>
      <c r="F50" s="5">
        <f>E50*(1+$B$6)</f>
        <v>45354242.999999993</v>
      </c>
      <c r="G50" s="5">
        <f t="shared" ref="G50" si="212">F50*(1+$B$6)</f>
        <v>45581014.214999989</v>
      </c>
      <c r="H50" s="5">
        <f t="shared" ref="H50" si="213">G50*(1+$B$6)</f>
        <v>45808919.286074981</v>
      </c>
      <c r="I50" s="5">
        <f t="shared" ref="I50" si="214">H50*(1+$B$6)</f>
        <v>46037963.88250535</v>
      </c>
      <c r="J50" s="5">
        <f t="shared" ref="J50" si="215">I50*(1+$B$6)</f>
        <v>46268153.701917872</v>
      </c>
      <c r="K50" s="5">
        <f t="shared" ref="K50" si="216">J50*(1+$B$6)</f>
        <v>46499494.470427454</v>
      </c>
      <c r="L50" s="5">
        <f t="shared" ref="L50" si="217">K50*(1+$B$6)</f>
        <v>46731991.942779586</v>
      </c>
      <c r="M50" s="5">
        <f t="shared" ref="M50" si="218">L50*(1+$B$6)</f>
        <v>46965651.902493477</v>
      </c>
      <c r="N50" s="5">
        <f t="shared" ref="N50" si="219">M50*(1+$B$6)</f>
        <v>47200480.162005939</v>
      </c>
      <c r="O50" s="5">
        <f t="shared" ref="O50" si="220">N50*(1+$B$6)</f>
        <v>47436482.562815964</v>
      </c>
      <c r="P50" s="5">
        <f t="shared" ref="P50" si="221">O50*(1+$B$6)</f>
        <v>47673664.975630037</v>
      </c>
      <c r="Q50" s="5">
        <f t="shared" ref="Q50" si="222">P50*(1+$B$6)</f>
        <v>47912033.300508186</v>
      </c>
      <c r="R50" s="5">
        <f t="shared" ref="R50" si="223">Q50*(1+$B$6)</f>
        <v>48151593.467010722</v>
      </c>
      <c r="S50" s="5">
        <f t="shared" ref="S50" si="224">R50*(1+$B$6)</f>
        <v>48392351.434345767</v>
      </c>
      <c r="T50" s="5">
        <f t="shared" ref="T50" si="225">S50*(1+$B$6)</f>
        <v>48634313.191517487</v>
      </c>
      <c r="U50" s="5">
        <f t="shared" ref="U50" si="226">T50*(1+$B$6)</f>
        <v>48877484.757475071</v>
      </c>
    </row>
    <row r="52" spans="1:21" x14ac:dyDescent="0.35">
      <c r="A52" s="48" t="str">
        <f>ITU!A9</f>
        <v>International outgoing fixed telephone traffic</v>
      </c>
      <c r="B52" s="49"/>
      <c r="C52" s="49"/>
      <c r="D52" s="49"/>
      <c r="E52" s="49"/>
      <c r="F52" s="49"/>
      <c r="G52" s="49"/>
      <c r="H52" s="49"/>
      <c r="I52" s="49"/>
      <c r="J52" s="49"/>
      <c r="K52" s="49"/>
      <c r="L52" s="49"/>
      <c r="M52" s="49"/>
      <c r="N52" s="49"/>
      <c r="O52" s="49"/>
      <c r="P52" s="49"/>
      <c r="Q52" s="49"/>
      <c r="R52" s="49"/>
      <c r="S52" s="49"/>
      <c r="T52" s="49"/>
      <c r="U52" s="49"/>
    </row>
    <row r="53" spans="1:21" x14ac:dyDescent="0.35">
      <c r="A53" s="21"/>
    </row>
    <row r="54" spans="1:21" x14ac:dyDescent="0.35">
      <c r="A54" s="196"/>
      <c r="B54" s="52" cm="1">
        <f t="array" ref="B54:U54">years</f>
        <v>2018</v>
      </c>
      <c r="C54" s="52">
        <v>2019</v>
      </c>
      <c r="D54" s="52">
        <v>2020</v>
      </c>
      <c r="E54" s="52">
        <v>2021</v>
      </c>
      <c r="F54" s="52">
        <v>2022</v>
      </c>
      <c r="G54" s="52">
        <v>2023</v>
      </c>
      <c r="H54" s="52">
        <v>2024</v>
      </c>
      <c r="I54" s="52">
        <v>2025</v>
      </c>
      <c r="J54" s="52">
        <v>2026</v>
      </c>
      <c r="K54" s="52">
        <v>2027</v>
      </c>
      <c r="L54" s="52">
        <v>2028</v>
      </c>
      <c r="M54" s="52">
        <v>2029</v>
      </c>
      <c r="N54" s="52">
        <v>2030</v>
      </c>
      <c r="O54" s="52">
        <v>2031</v>
      </c>
      <c r="P54" s="52">
        <v>2032</v>
      </c>
      <c r="Q54" s="52">
        <v>2033</v>
      </c>
      <c r="R54" s="52">
        <v>2034</v>
      </c>
      <c r="S54" s="52">
        <v>2035</v>
      </c>
      <c r="T54" s="52">
        <v>2036</v>
      </c>
      <c r="U54" s="52">
        <v>2037</v>
      </c>
    </row>
    <row r="55" spans="1:21" x14ac:dyDescent="0.35">
      <c r="A55" s="17" t="str" cm="1">
        <f t="array" ref="A55:A57">growth_scenarios</f>
        <v>Low growth scenario</v>
      </c>
      <c r="B55" s="5">
        <f>ITU!D$9</f>
        <v>356416000</v>
      </c>
      <c r="C55" s="5">
        <f>ITU!E$9</f>
        <v>79815800</v>
      </c>
      <c r="D55" s="5">
        <f>ITU!F$9</f>
        <v>81615500</v>
      </c>
      <c r="E55" s="5">
        <f>ITU!G$9</f>
        <v>64933600</v>
      </c>
      <c r="F55" s="5">
        <f>E55*(1+$B$4)</f>
        <v>64608932</v>
      </c>
      <c r="G55" s="5">
        <f t="shared" ref="G55" si="227">F55*(1+$B$4)</f>
        <v>64285887.339999996</v>
      </c>
      <c r="H55" s="5">
        <f t="shared" ref="H55" si="228">G55*(1+$B$4)</f>
        <v>63964457.903299995</v>
      </c>
      <c r="I55" s="5">
        <f t="shared" ref="I55" si="229">H55*(1+$B$4)</f>
        <v>63644635.613783494</v>
      </c>
      <c r="J55" s="5">
        <f t="shared" ref="J55" si="230">I55*(1+$B$4)</f>
        <v>63326412.435714573</v>
      </c>
      <c r="K55" s="5">
        <f t="shared" ref="K55" si="231">J55*(1+$B$4)</f>
        <v>63009780.373535998</v>
      </c>
      <c r="L55" s="5">
        <f t="shared" ref="L55" si="232">K55*(1+$B$4)</f>
        <v>62694731.471668318</v>
      </c>
      <c r="M55" s="5">
        <f t="shared" ref="M55" si="233">L55*(1+$B$4)</f>
        <v>62381257.814309977</v>
      </c>
      <c r="N55" s="5">
        <f t="shared" ref="N55" si="234">M55*(1+$B$4)</f>
        <v>62069351.525238425</v>
      </c>
      <c r="O55" s="5">
        <f t="shared" ref="O55" si="235">N55*(1+$B$4)</f>
        <v>61759004.767612234</v>
      </c>
      <c r="P55" s="5">
        <f t="shared" ref="P55" si="236">O55*(1+$B$4)</f>
        <v>61450209.743774176</v>
      </c>
      <c r="Q55" s="5">
        <f t="shared" ref="Q55" si="237">P55*(1+$B$4)</f>
        <v>61142958.695055306</v>
      </c>
      <c r="R55" s="5">
        <f t="shared" ref="R55" si="238">Q55*(1+$B$4)</f>
        <v>60837243.901580028</v>
      </c>
      <c r="S55" s="5">
        <f t="shared" ref="S55" si="239">R55*(1+$B$4)</f>
        <v>60533057.682072125</v>
      </c>
      <c r="T55" s="5">
        <f t="shared" ref="T55" si="240">S55*(1+$B$4)</f>
        <v>60230392.393661767</v>
      </c>
      <c r="U55" s="5">
        <f t="shared" ref="U55" si="241">T55*(1+$B$4)</f>
        <v>59929240.431693457</v>
      </c>
    </row>
    <row r="56" spans="1:21" x14ac:dyDescent="0.35">
      <c r="A56" s="17" t="str">
        <v>Medium growth scenario</v>
      </c>
      <c r="B56" s="5">
        <f>ITU!D$9</f>
        <v>356416000</v>
      </c>
      <c r="C56" s="5">
        <f>ITU!E$9</f>
        <v>79815800</v>
      </c>
      <c r="D56" s="5">
        <f>ITU!F$9</f>
        <v>81615500</v>
      </c>
      <c r="E56" s="5">
        <f>ITU!G$9</f>
        <v>64933600</v>
      </c>
      <c r="F56" s="5">
        <f>E56*(1+$B$5)</f>
        <v>64933600</v>
      </c>
      <c r="G56" s="5">
        <f t="shared" ref="G56" si="242">F56*(1+$B$5)</f>
        <v>64933600</v>
      </c>
      <c r="H56" s="5">
        <f t="shared" ref="H56" si="243">G56*(1+$B$5)</f>
        <v>64933600</v>
      </c>
      <c r="I56" s="5">
        <f t="shared" ref="I56" si="244">H56*(1+$B$5)</f>
        <v>64933600</v>
      </c>
      <c r="J56" s="5">
        <f t="shared" ref="J56" si="245">I56*(1+$B$5)</f>
        <v>64933600</v>
      </c>
      <c r="K56" s="5">
        <f t="shared" ref="K56" si="246">J56*(1+$B$5)</f>
        <v>64933600</v>
      </c>
      <c r="L56" s="5">
        <f t="shared" ref="L56" si="247">K56*(1+$B$5)</f>
        <v>64933600</v>
      </c>
      <c r="M56" s="5">
        <f t="shared" ref="M56" si="248">L56*(1+$B$5)</f>
        <v>64933600</v>
      </c>
      <c r="N56" s="5">
        <f t="shared" ref="N56" si="249">M56*(1+$B$5)</f>
        <v>64933600</v>
      </c>
      <c r="O56" s="5">
        <f t="shared" ref="O56" si="250">N56*(1+$B$5)</f>
        <v>64933600</v>
      </c>
      <c r="P56" s="5">
        <f t="shared" ref="P56" si="251">O56*(1+$B$5)</f>
        <v>64933600</v>
      </c>
      <c r="Q56" s="5">
        <f t="shared" ref="Q56" si="252">P56*(1+$B$5)</f>
        <v>64933600</v>
      </c>
      <c r="R56" s="5">
        <f t="shared" ref="R56" si="253">Q56*(1+$B$5)</f>
        <v>64933600</v>
      </c>
      <c r="S56" s="5">
        <f t="shared" ref="S56" si="254">R56*(1+$B$5)</f>
        <v>64933600</v>
      </c>
      <c r="T56" s="5">
        <f t="shared" ref="T56" si="255">S56*(1+$B$5)</f>
        <v>64933600</v>
      </c>
      <c r="U56" s="5">
        <f t="shared" ref="U56" si="256">T56*(1+$B$5)</f>
        <v>64933600</v>
      </c>
    </row>
    <row r="57" spans="1:21" x14ac:dyDescent="0.35">
      <c r="A57" s="17" t="str">
        <v>High growth scenario</v>
      </c>
      <c r="B57" s="5">
        <f>ITU!D$9</f>
        <v>356416000</v>
      </c>
      <c r="C57" s="5">
        <f>ITU!E$9</f>
        <v>79815800</v>
      </c>
      <c r="D57" s="5">
        <f>ITU!F$9</f>
        <v>81615500</v>
      </c>
      <c r="E57" s="5">
        <f>ITU!G$9</f>
        <v>64933600</v>
      </c>
      <c r="F57" s="5">
        <f>E57*(1+$B$6)</f>
        <v>65258267.999999993</v>
      </c>
      <c r="G57" s="5">
        <f t="shared" ref="G57" si="257">F57*(1+$B$6)</f>
        <v>65584559.339999989</v>
      </c>
      <c r="H57" s="5">
        <f t="shared" ref="H57" si="258">G57*(1+$B$6)</f>
        <v>65912482.136699982</v>
      </c>
      <c r="I57" s="5">
        <f t="shared" ref="I57" si="259">H57*(1+$B$6)</f>
        <v>66242044.547383472</v>
      </c>
      <c r="J57" s="5">
        <f t="shared" ref="J57" si="260">I57*(1+$B$6)</f>
        <v>66573254.770120382</v>
      </c>
      <c r="K57" s="5">
        <f t="shared" ref="K57" si="261">J57*(1+$B$6)</f>
        <v>66906121.04397098</v>
      </c>
      <c r="L57" s="5">
        <f t="shared" ref="L57" si="262">K57*(1+$B$6)</f>
        <v>67240651.649190828</v>
      </c>
      <c r="M57" s="5">
        <f t="shared" ref="M57" si="263">L57*(1+$B$6)</f>
        <v>67576854.907436773</v>
      </c>
      <c r="N57" s="5">
        <f t="shared" ref="N57" si="264">M57*(1+$B$6)</f>
        <v>67914739.181973949</v>
      </c>
      <c r="O57" s="5">
        <f t="shared" ref="O57" si="265">N57*(1+$B$6)</f>
        <v>68254312.877883807</v>
      </c>
      <c r="P57" s="5">
        <f t="shared" ref="P57" si="266">O57*(1+$B$6)</f>
        <v>68595584.442273214</v>
      </c>
      <c r="Q57" s="5">
        <f t="shared" ref="Q57" si="267">P57*(1+$B$6)</f>
        <v>68938562.364484578</v>
      </c>
      <c r="R57" s="5">
        <f t="shared" ref="R57" si="268">Q57*(1+$B$6)</f>
        <v>69283255.176306993</v>
      </c>
      <c r="S57" s="5">
        <f t="shared" ref="S57" si="269">R57*(1+$B$6)</f>
        <v>69629671.452188522</v>
      </c>
      <c r="T57" s="5">
        <f t="shared" ref="T57" si="270">S57*(1+$B$6)</f>
        <v>69977819.809449464</v>
      </c>
      <c r="U57" s="5">
        <f t="shared" ref="U57" si="271">T57*(1+$B$6)</f>
        <v>70327708.908496708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1682D-F597-43EA-968D-37EBA0DD5FB1}">
  <dimension ref="A1:H92"/>
  <sheetViews>
    <sheetView workbookViewId="0">
      <selection sqref="A1:XFD1"/>
    </sheetView>
  </sheetViews>
  <sheetFormatPr defaultColWidth="15.6328125" defaultRowHeight="14.5" x14ac:dyDescent="0.35"/>
  <cols>
    <col min="1" max="1" width="60.6328125" style="39" customWidth="1"/>
    <col min="2" max="4" width="19.36328125" style="12" bestFit="1" customWidth="1"/>
    <col min="5" max="5" width="19.453125" style="12" bestFit="1" customWidth="1"/>
    <col min="6" max="6" width="19.36328125" style="12" bestFit="1" customWidth="1"/>
    <col min="7" max="7" width="17.36328125" style="12" bestFit="1" customWidth="1"/>
    <col min="8" max="16384" width="15.6328125" style="12"/>
  </cols>
  <sheetData>
    <row r="1" spans="1:7" ht="18.5" x14ac:dyDescent="0.45">
      <c r="A1" s="55" t="s">
        <v>180</v>
      </c>
    </row>
    <row r="2" spans="1:7" x14ac:dyDescent="0.35">
      <c r="A2" s="56"/>
    </row>
    <row r="3" spans="1:7" x14ac:dyDescent="0.35">
      <c r="A3" s="67" t="s">
        <v>181</v>
      </c>
    </row>
    <row r="4" spans="1:7" x14ac:dyDescent="0.35">
      <c r="A4" s="57"/>
    </row>
    <row r="5" spans="1:7" ht="29" x14ac:dyDescent="0.35">
      <c r="A5" s="150" t="s">
        <v>182</v>
      </c>
    </row>
    <row r="7" spans="1:7" x14ac:dyDescent="0.35">
      <c r="A7" s="56" t="s">
        <v>183</v>
      </c>
      <c r="B7" s="12" t="s">
        <v>184</v>
      </c>
    </row>
    <row r="8" spans="1:7" x14ac:dyDescent="0.35">
      <c r="A8" s="54"/>
      <c r="B8" s="52"/>
      <c r="C8" s="52">
        <v>2018</v>
      </c>
      <c r="D8" s="52">
        <v>2019</v>
      </c>
      <c r="E8" s="52">
        <v>2020</v>
      </c>
      <c r="F8" s="52">
        <v>2021</v>
      </c>
      <c r="G8" s="58"/>
    </row>
    <row r="9" spans="1:7" x14ac:dyDescent="0.35">
      <c r="A9" s="31" t="s">
        <v>185</v>
      </c>
      <c r="B9" s="68"/>
      <c r="C9" s="68">
        <v>187587374843</v>
      </c>
      <c r="D9" s="68">
        <v>194284132172</v>
      </c>
      <c r="E9" s="68">
        <v>201254592538</v>
      </c>
      <c r="F9" s="68">
        <v>200250923462</v>
      </c>
    </row>
    <row r="10" spans="1:7" x14ac:dyDescent="0.35">
      <c r="A10" s="31" t="s">
        <v>186</v>
      </c>
      <c r="B10" s="68"/>
      <c r="C10" s="68">
        <v>99569265222</v>
      </c>
      <c r="D10" s="68">
        <v>98071800081</v>
      </c>
      <c r="E10" s="68">
        <v>105670253917</v>
      </c>
      <c r="F10" s="68">
        <v>113945854241</v>
      </c>
    </row>
    <row r="11" spans="1:7" x14ac:dyDescent="0.35">
      <c r="A11" s="31" t="s">
        <v>187</v>
      </c>
      <c r="B11" s="68"/>
      <c r="C11" s="68">
        <v>57011037623</v>
      </c>
      <c r="D11" s="68">
        <v>58768274771</v>
      </c>
      <c r="E11" s="68">
        <v>62165693130</v>
      </c>
      <c r="F11" s="68">
        <v>56294725060</v>
      </c>
    </row>
    <row r="12" spans="1:7" x14ac:dyDescent="0.35">
      <c r="A12" s="31" t="s">
        <v>188</v>
      </c>
      <c r="B12" s="68"/>
      <c r="C12" s="68">
        <v>19078304740</v>
      </c>
      <c r="D12" s="68">
        <v>26790096707</v>
      </c>
      <c r="E12" s="68">
        <v>25335440726</v>
      </c>
      <c r="F12" s="68">
        <v>23493901812</v>
      </c>
    </row>
    <row r="13" spans="1:7" x14ac:dyDescent="0.35">
      <c r="A13" s="31" t="s">
        <v>189</v>
      </c>
      <c r="B13" s="68"/>
      <c r="C13" s="68">
        <v>11928767258</v>
      </c>
      <c r="D13" s="68">
        <v>10653960614</v>
      </c>
      <c r="E13" s="68">
        <v>8083204765</v>
      </c>
      <c r="F13" s="68">
        <v>6516442350</v>
      </c>
    </row>
    <row r="16" spans="1:7" x14ac:dyDescent="0.35">
      <c r="A16" s="56" t="s">
        <v>190</v>
      </c>
      <c r="B16" s="12" t="s">
        <v>191</v>
      </c>
    </row>
    <row r="17" spans="1:7" x14ac:dyDescent="0.35">
      <c r="A17" s="54"/>
      <c r="B17" s="53"/>
      <c r="C17" s="53">
        <v>2018</v>
      </c>
      <c r="D17" s="53">
        <v>2019</v>
      </c>
      <c r="E17" s="53">
        <v>2020</v>
      </c>
      <c r="F17" s="53">
        <v>2021</v>
      </c>
    </row>
    <row r="18" spans="1:7" x14ac:dyDescent="0.35">
      <c r="A18" s="31" t="s">
        <v>186</v>
      </c>
      <c r="B18" s="68"/>
      <c r="C18" s="68">
        <v>99569265222</v>
      </c>
      <c r="D18" s="69">
        <v>98071800081</v>
      </c>
      <c r="E18" s="68">
        <v>105670253917</v>
      </c>
      <c r="F18" s="68">
        <v>113945854241</v>
      </c>
    </row>
    <row r="19" spans="1:7" x14ac:dyDescent="0.35">
      <c r="A19" s="31" t="s">
        <v>192</v>
      </c>
      <c r="B19" s="68"/>
      <c r="C19" s="68">
        <v>47068742797</v>
      </c>
      <c r="D19" s="69">
        <v>40124141859</v>
      </c>
      <c r="E19" s="68">
        <v>48071241971</v>
      </c>
      <c r="F19" s="68">
        <v>53128234464</v>
      </c>
    </row>
    <row r="20" spans="1:7" x14ac:dyDescent="0.35">
      <c r="A20" s="31" t="s">
        <v>193</v>
      </c>
      <c r="B20" s="68"/>
      <c r="C20" s="68">
        <v>43756195020</v>
      </c>
      <c r="D20" s="69">
        <v>36247358086</v>
      </c>
      <c r="E20" s="68">
        <v>35143659167</v>
      </c>
      <c r="F20" s="68">
        <v>36101920184</v>
      </c>
    </row>
    <row r="21" spans="1:7" x14ac:dyDescent="0.35">
      <c r="A21" s="31" t="s">
        <v>194</v>
      </c>
      <c r="B21" s="68"/>
      <c r="C21" s="68">
        <v>4587185489</v>
      </c>
      <c r="D21" s="69">
        <v>18506714023</v>
      </c>
      <c r="E21" s="68">
        <v>16198912702</v>
      </c>
      <c r="F21" s="68">
        <v>18256374065</v>
      </c>
    </row>
    <row r="22" spans="1:7" x14ac:dyDescent="0.35">
      <c r="A22" s="31" t="s">
        <v>195</v>
      </c>
      <c r="B22" s="68"/>
      <c r="C22" s="68">
        <v>3957858068</v>
      </c>
      <c r="D22" s="69">
        <v>2542494484</v>
      </c>
      <c r="E22" s="68">
        <v>2767430165</v>
      </c>
      <c r="F22" s="70">
        <v>3644150398</v>
      </c>
    </row>
    <row r="23" spans="1:7" x14ac:dyDescent="0.35">
      <c r="A23" s="31" t="s">
        <v>196</v>
      </c>
      <c r="B23" s="68"/>
      <c r="C23" s="68">
        <v>199283848</v>
      </c>
      <c r="D23" s="69">
        <v>651091629</v>
      </c>
      <c r="E23" s="69">
        <v>2489009912</v>
      </c>
      <c r="F23" s="68">
        <v>2815175130</v>
      </c>
      <c r="G23" s="59"/>
    </row>
    <row r="24" spans="1:7" x14ac:dyDescent="0.35">
      <c r="E24" s="59"/>
    </row>
    <row r="25" spans="1:7" x14ac:dyDescent="0.35">
      <c r="D25" s="59"/>
      <c r="E25" s="59"/>
    </row>
    <row r="26" spans="1:7" x14ac:dyDescent="0.35">
      <c r="A26" s="56" t="s">
        <v>197</v>
      </c>
      <c r="B26" s="12" t="s">
        <v>198</v>
      </c>
      <c r="D26" s="59"/>
      <c r="E26" s="59"/>
    </row>
    <row r="27" spans="1:7" x14ac:dyDescent="0.35">
      <c r="A27" s="54"/>
      <c r="B27" s="52"/>
      <c r="C27" s="52">
        <v>2018</v>
      </c>
      <c r="D27" s="52">
        <v>2019</v>
      </c>
      <c r="E27" s="52">
        <v>2020</v>
      </c>
      <c r="F27" s="52">
        <v>2021</v>
      </c>
    </row>
    <row r="28" spans="1:7" x14ac:dyDescent="0.35">
      <c r="A28" s="31" t="s">
        <v>188</v>
      </c>
      <c r="B28" s="68"/>
      <c r="C28" s="68">
        <v>19078304740</v>
      </c>
      <c r="D28" s="68">
        <v>26790096707</v>
      </c>
      <c r="E28" s="68">
        <v>25335440726</v>
      </c>
      <c r="F28" s="68">
        <v>23493901812</v>
      </c>
    </row>
    <row r="29" spans="1:7" x14ac:dyDescent="0.35">
      <c r="A29" s="31" t="s">
        <v>199</v>
      </c>
      <c r="B29" s="68"/>
      <c r="C29" s="68">
        <v>11003085498</v>
      </c>
      <c r="D29" s="68">
        <v>13918376242</v>
      </c>
      <c r="E29" s="68">
        <v>13540003128</v>
      </c>
      <c r="F29" s="68">
        <v>13262951804</v>
      </c>
    </row>
    <row r="30" spans="1:7" x14ac:dyDescent="0.35">
      <c r="A30" s="31" t="s">
        <v>200</v>
      </c>
      <c r="B30" s="68"/>
      <c r="C30" s="68">
        <v>1330783377</v>
      </c>
      <c r="D30" s="68">
        <v>6327818019</v>
      </c>
      <c r="E30" s="68">
        <v>5087844013</v>
      </c>
      <c r="F30" s="68">
        <v>4737468356</v>
      </c>
    </row>
    <row r="31" spans="1:7" ht="29" x14ac:dyDescent="0.35">
      <c r="A31" s="31" t="s">
        <v>201</v>
      </c>
      <c r="B31" s="68"/>
      <c r="C31" s="68">
        <v>4875143271</v>
      </c>
      <c r="D31" s="68">
        <v>3791726468</v>
      </c>
      <c r="E31" s="68">
        <v>4254204570</v>
      </c>
      <c r="F31" s="68">
        <v>4195979416</v>
      </c>
    </row>
    <row r="32" spans="1:7" x14ac:dyDescent="0.35">
      <c r="A32" s="31" t="s">
        <v>202</v>
      </c>
      <c r="B32" s="68"/>
      <c r="C32" s="68">
        <v>1869292594</v>
      </c>
      <c r="D32" s="68">
        <v>2752175978</v>
      </c>
      <c r="E32" s="68">
        <v>2453389014</v>
      </c>
      <c r="F32" s="68">
        <v>1297502236</v>
      </c>
    </row>
    <row r="35" spans="1:6" x14ac:dyDescent="0.35">
      <c r="A35" s="56" t="s">
        <v>203</v>
      </c>
      <c r="B35" s="12" t="s">
        <v>204</v>
      </c>
    </row>
    <row r="36" spans="1:6" x14ac:dyDescent="0.35">
      <c r="A36" s="31"/>
      <c r="B36" s="52"/>
      <c r="C36" s="52">
        <v>2018</v>
      </c>
      <c r="D36" s="52">
        <v>2019</v>
      </c>
      <c r="E36" s="52">
        <v>2020</v>
      </c>
      <c r="F36" s="52">
        <v>2021</v>
      </c>
    </row>
    <row r="37" spans="1:6" x14ac:dyDescent="0.35">
      <c r="A37" s="31" t="s">
        <v>205</v>
      </c>
      <c r="B37" s="68"/>
      <c r="C37" s="68">
        <v>11928767258</v>
      </c>
      <c r="D37" s="68">
        <v>10653960614</v>
      </c>
      <c r="E37" s="68">
        <v>8083204765</v>
      </c>
      <c r="F37" s="68">
        <v>6516442350</v>
      </c>
    </row>
    <row r="38" spans="1:6" x14ac:dyDescent="0.35">
      <c r="A38" s="31" t="s">
        <v>206</v>
      </c>
      <c r="B38" s="68"/>
      <c r="C38" s="68">
        <v>6595737290</v>
      </c>
      <c r="D38" s="68">
        <v>6103435777</v>
      </c>
      <c r="E38" s="68">
        <v>4575278396</v>
      </c>
      <c r="F38" s="68">
        <v>3517593998</v>
      </c>
    </row>
    <row r="39" spans="1:6" x14ac:dyDescent="0.35">
      <c r="A39" s="31" t="s">
        <v>207</v>
      </c>
      <c r="B39" s="68"/>
      <c r="C39" s="68">
        <v>5140231624</v>
      </c>
      <c r="D39" s="68">
        <v>4413373568</v>
      </c>
      <c r="E39" s="68">
        <v>3150430268</v>
      </c>
      <c r="F39" s="68">
        <v>2903360189</v>
      </c>
    </row>
    <row r="40" spans="1:6" x14ac:dyDescent="0.35">
      <c r="A40" s="31" t="s">
        <v>208</v>
      </c>
      <c r="B40" s="68"/>
      <c r="C40" s="68">
        <v>192798344</v>
      </c>
      <c r="D40" s="68">
        <v>137151269</v>
      </c>
      <c r="E40" s="68">
        <v>357496101</v>
      </c>
      <c r="F40" s="68">
        <v>95488163</v>
      </c>
    </row>
    <row r="43" spans="1:6" x14ac:dyDescent="0.35">
      <c r="A43" s="56" t="s">
        <v>209</v>
      </c>
      <c r="B43" s="12" t="s">
        <v>210</v>
      </c>
    </row>
    <row r="44" spans="1:6" x14ac:dyDescent="0.35">
      <c r="A44" s="54"/>
      <c r="B44" s="52"/>
      <c r="C44" s="52">
        <v>2018</v>
      </c>
      <c r="D44" s="52">
        <v>2019</v>
      </c>
      <c r="E44" s="52">
        <v>2020</v>
      </c>
      <c r="F44" s="52">
        <v>2021</v>
      </c>
    </row>
    <row r="45" spans="1:6" x14ac:dyDescent="0.35">
      <c r="A45" s="31" t="s">
        <v>211</v>
      </c>
      <c r="B45" s="68"/>
      <c r="C45" s="68">
        <v>27025173332</v>
      </c>
      <c r="D45" s="68">
        <v>38889588361</v>
      </c>
      <c r="E45" s="68">
        <v>27404561055</v>
      </c>
      <c r="F45" s="68">
        <v>27579347445</v>
      </c>
    </row>
    <row r="46" spans="1:6" x14ac:dyDescent="0.35">
      <c r="A46" s="31" t="s">
        <v>212</v>
      </c>
      <c r="B46" s="68"/>
      <c r="C46" s="68">
        <v>25746766590</v>
      </c>
      <c r="D46" s="68">
        <v>15985529092</v>
      </c>
      <c r="E46" s="68">
        <v>28798070479</v>
      </c>
      <c r="F46" s="68">
        <v>31157104593</v>
      </c>
    </row>
    <row r="47" spans="1:6" x14ac:dyDescent="0.35">
      <c r="A47" s="31" t="s">
        <v>213</v>
      </c>
      <c r="B47" s="68"/>
      <c r="C47" s="68">
        <v>1030798979</v>
      </c>
      <c r="D47" s="68">
        <v>693488985</v>
      </c>
      <c r="E47" s="68">
        <v>941977675</v>
      </c>
      <c r="F47" s="68">
        <v>877342773</v>
      </c>
    </row>
    <row r="50" spans="1:6" x14ac:dyDescent="0.35">
      <c r="A50" s="56" t="s">
        <v>214</v>
      </c>
    </row>
    <row r="51" spans="1:6" x14ac:dyDescent="0.35">
      <c r="A51" s="54"/>
      <c r="B51" s="52"/>
      <c r="C51" s="52">
        <v>2018</v>
      </c>
      <c r="D51" s="52">
        <v>2019</v>
      </c>
      <c r="E51" s="52">
        <v>2020</v>
      </c>
      <c r="F51" s="52">
        <v>2021</v>
      </c>
    </row>
    <row r="52" spans="1:6" x14ac:dyDescent="0.35">
      <c r="A52" s="31" t="s">
        <v>215</v>
      </c>
      <c r="B52" s="60"/>
      <c r="C52" s="60">
        <v>0.995</v>
      </c>
      <c r="D52" s="60">
        <v>0.997</v>
      </c>
      <c r="E52" s="60">
        <v>0.998</v>
      </c>
      <c r="F52" s="60">
        <v>0.999</v>
      </c>
    </row>
    <row r="53" spans="1:6" x14ac:dyDescent="0.35">
      <c r="A53" s="31" t="s">
        <v>216</v>
      </c>
      <c r="B53" s="60"/>
      <c r="C53" s="60">
        <v>0.85699999999999998</v>
      </c>
      <c r="D53" s="60">
        <v>0.92800000000000005</v>
      </c>
      <c r="E53" s="60">
        <v>0.96399999999999997</v>
      </c>
      <c r="F53" s="60">
        <v>0.97699999999999998</v>
      </c>
    </row>
    <row r="54" spans="1:6" x14ac:dyDescent="0.35">
      <c r="A54" s="31" t="s">
        <v>217</v>
      </c>
      <c r="B54" s="60"/>
      <c r="C54" s="60"/>
      <c r="D54" s="60"/>
      <c r="E54" s="60">
        <v>7.0000000000000001E-3</v>
      </c>
      <c r="F54" s="60">
        <v>7.4999999999999997E-2</v>
      </c>
    </row>
    <row r="55" spans="1:6" x14ac:dyDescent="0.35">
      <c r="A55" s="61"/>
    </row>
    <row r="56" spans="1:6" x14ac:dyDescent="0.35">
      <c r="A56" s="61"/>
    </row>
    <row r="57" spans="1:6" x14ac:dyDescent="0.35">
      <c r="A57" s="62" t="s">
        <v>218</v>
      </c>
      <c r="B57" s="12" t="s">
        <v>219</v>
      </c>
    </row>
    <row r="58" spans="1:6" x14ac:dyDescent="0.35">
      <c r="A58" s="32"/>
      <c r="B58" s="65"/>
      <c r="C58" s="52">
        <v>2018</v>
      </c>
      <c r="D58" s="52">
        <v>2019</v>
      </c>
      <c r="E58" s="52">
        <v>2020</v>
      </c>
      <c r="F58" s="52">
        <v>2021</v>
      </c>
    </row>
    <row r="59" spans="1:6" x14ac:dyDescent="0.35">
      <c r="A59" s="31" t="s">
        <v>220</v>
      </c>
      <c r="B59" s="17"/>
      <c r="C59" s="26">
        <v>91707731</v>
      </c>
      <c r="D59" s="26">
        <v>96972459</v>
      </c>
      <c r="E59" s="26">
        <v>94972459</v>
      </c>
      <c r="F59" s="26">
        <v>103167525</v>
      </c>
    </row>
    <row r="60" spans="1:6" x14ac:dyDescent="0.35">
      <c r="A60" s="32" t="s">
        <v>221</v>
      </c>
      <c r="B60" s="17"/>
      <c r="C60" s="26">
        <v>46904835</v>
      </c>
      <c r="D60" s="26">
        <v>53380748</v>
      </c>
      <c r="E60" s="26">
        <v>60438901</v>
      </c>
      <c r="F60" s="26">
        <v>65313134</v>
      </c>
    </row>
    <row r="61" spans="1:6" x14ac:dyDescent="0.35">
      <c r="A61" s="61"/>
    </row>
    <row r="62" spans="1:6" x14ac:dyDescent="0.35">
      <c r="A62" s="61"/>
    </row>
    <row r="63" spans="1:6" x14ac:dyDescent="0.35">
      <c r="A63" s="63" t="s">
        <v>222</v>
      </c>
      <c r="B63" s="12" t="s">
        <v>223</v>
      </c>
    </row>
    <row r="64" spans="1:6" x14ac:dyDescent="0.35">
      <c r="A64" s="32"/>
      <c r="B64" s="52"/>
      <c r="C64" s="52">
        <v>2018</v>
      </c>
      <c r="D64" s="52">
        <v>2019</v>
      </c>
      <c r="E64" s="52">
        <v>2020</v>
      </c>
      <c r="F64" s="52">
        <v>2021</v>
      </c>
    </row>
    <row r="65" spans="1:8" x14ac:dyDescent="0.35">
      <c r="A65" s="32" t="s">
        <v>224</v>
      </c>
      <c r="B65" s="26"/>
      <c r="C65" s="26">
        <v>91707731</v>
      </c>
      <c r="D65" s="26">
        <v>96972459</v>
      </c>
      <c r="E65" s="26">
        <v>94952509</v>
      </c>
      <c r="F65" s="26">
        <v>103167525</v>
      </c>
    </row>
    <row r="66" spans="1:8" x14ac:dyDescent="0.35">
      <c r="A66" s="31" t="s">
        <v>225</v>
      </c>
      <c r="B66" s="26"/>
      <c r="C66" s="26">
        <v>80436209</v>
      </c>
      <c r="D66" s="26">
        <v>82323854</v>
      </c>
      <c r="E66" s="26">
        <v>79419434</v>
      </c>
      <c r="F66" s="26">
        <v>86816228</v>
      </c>
    </row>
    <row r="67" spans="1:8" x14ac:dyDescent="0.35">
      <c r="A67" s="32" t="s">
        <v>226</v>
      </c>
      <c r="B67" s="26"/>
      <c r="C67" s="26">
        <v>11271522</v>
      </c>
      <c r="D67" s="26">
        <v>14648605</v>
      </c>
      <c r="E67" s="26">
        <v>15533075</v>
      </c>
      <c r="F67" s="26">
        <v>16351297</v>
      </c>
    </row>
    <row r="68" spans="1:8" x14ac:dyDescent="0.35">
      <c r="A68" s="61"/>
    </row>
    <row r="70" spans="1:8" ht="29" x14ac:dyDescent="0.35">
      <c r="A70" s="56" t="s">
        <v>227</v>
      </c>
      <c r="B70" s="12" t="s">
        <v>228</v>
      </c>
    </row>
    <row r="71" spans="1:8" x14ac:dyDescent="0.35">
      <c r="A71" s="54"/>
      <c r="B71" s="52"/>
      <c r="C71" s="52">
        <v>2018</v>
      </c>
      <c r="D71" s="52">
        <v>2019</v>
      </c>
      <c r="E71" s="52">
        <v>2020</v>
      </c>
      <c r="F71" s="52">
        <v>2021</v>
      </c>
      <c r="H71" s="21"/>
    </row>
    <row r="72" spans="1:8" x14ac:dyDescent="0.35">
      <c r="A72" s="31" t="s">
        <v>229</v>
      </c>
      <c r="B72" s="17"/>
      <c r="C72" s="17"/>
      <c r="D72" s="26">
        <v>53306152</v>
      </c>
      <c r="E72" s="26">
        <v>64151355</v>
      </c>
      <c r="F72" s="26">
        <v>64113022</v>
      </c>
      <c r="H72" s="64"/>
    </row>
    <row r="75" spans="1:8" x14ac:dyDescent="0.35">
      <c r="A75" s="56" t="s">
        <v>230</v>
      </c>
      <c r="B75" s="12" t="s">
        <v>231</v>
      </c>
    </row>
    <row r="76" spans="1:8" x14ac:dyDescent="0.35">
      <c r="A76" s="31"/>
      <c r="B76" s="52"/>
      <c r="C76" s="52">
        <v>2018</v>
      </c>
      <c r="D76" s="52">
        <v>2019</v>
      </c>
      <c r="E76" s="52">
        <v>2020</v>
      </c>
      <c r="F76" s="52">
        <v>2021</v>
      </c>
    </row>
    <row r="77" spans="1:8" x14ac:dyDescent="0.35">
      <c r="A77" s="31" t="s">
        <v>232</v>
      </c>
      <c r="B77" s="26"/>
      <c r="C77" s="26">
        <v>3869934</v>
      </c>
      <c r="D77" s="26">
        <v>3112717</v>
      </c>
      <c r="E77" s="26">
        <v>1492151</v>
      </c>
      <c r="F77" s="26">
        <v>1796364</v>
      </c>
    </row>
    <row r="78" spans="1:8" x14ac:dyDescent="0.35">
      <c r="A78" s="31" t="s">
        <v>233</v>
      </c>
      <c r="B78" s="26"/>
      <c r="C78" s="26">
        <v>1278728</v>
      </c>
      <c r="D78" s="26">
        <v>1647419</v>
      </c>
      <c r="E78" s="26">
        <v>1026002</v>
      </c>
      <c r="F78" s="26">
        <v>1379207</v>
      </c>
    </row>
    <row r="79" spans="1:8" x14ac:dyDescent="0.35">
      <c r="A79" s="31" t="s">
        <v>234</v>
      </c>
      <c r="B79" s="26"/>
      <c r="C79" s="26">
        <v>2521013</v>
      </c>
      <c r="D79" s="26">
        <v>1441292</v>
      </c>
      <c r="E79" s="26">
        <v>453771</v>
      </c>
      <c r="F79" s="26">
        <v>316825</v>
      </c>
    </row>
    <row r="80" spans="1:8" x14ac:dyDescent="0.35">
      <c r="A80" s="31" t="s">
        <v>235</v>
      </c>
      <c r="B80" s="26"/>
      <c r="C80" s="26">
        <v>70193</v>
      </c>
      <c r="D80" s="26">
        <v>24006</v>
      </c>
      <c r="E80" s="26">
        <v>12378</v>
      </c>
      <c r="F80" s="26">
        <v>100332</v>
      </c>
    </row>
    <row r="83" spans="1:6" ht="29" x14ac:dyDescent="0.35">
      <c r="A83" s="56" t="s">
        <v>236</v>
      </c>
      <c r="B83" s="12" t="s">
        <v>237</v>
      </c>
    </row>
    <row r="84" spans="1:6" x14ac:dyDescent="0.35">
      <c r="A84" s="31"/>
      <c r="B84" s="53"/>
      <c r="C84" s="52">
        <v>2018</v>
      </c>
      <c r="D84" s="52">
        <v>2019</v>
      </c>
      <c r="E84" s="52">
        <v>2020</v>
      </c>
      <c r="F84" s="52">
        <v>2021</v>
      </c>
    </row>
    <row r="85" spans="1:6" x14ac:dyDescent="0.35">
      <c r="A85" s="31" t="s">
        <v>238</v>
      </c>
      <c r="B85" s="26"/>
      <c r="C85" s="26">
        <v>5208521164</v>
      </c>
      <c r="D85" s="26">
        <v>6365441002</v>
      </c>
      <c r="E85" s="26">
        <v>4167973810</v>
      </c>
      <c r="F85" s="26">
        <v>3398520058</v>
      </c>
    </row>
    <row r="86" spans="1:6" x14ac:dyDescent="0.35">
      <c r="A86" s="31" t="s">
        <v>239</v>
      </c>
      <c r="B86" s="26"/>
      <c r="C86" s="26">
        <v>3139633506</v>
      </c>
      <c r="D86" s="26">
        <v>3833825566</v>
      </c>
      <c r="E86" s="26">
        <v>2607594305</v>
      </c>
      <c r="F86" s="26">
        <v>1869197103</v>
      </c>
    </row>
    <row r="87" spans="1:6" x14ac:dyDescent="0.35">
      <c r="A87" s="31" t="s">
        <v>240</v>
      </c>
      <c r="B87" s="26"/>
      <c r="C87" s="26">
        <v>2068887658</v>
      </c>
      <c r="D87" s="26">
        <v>2531615436</v>
      </c>
      <c r="E87" s="26">
        <v>1560379505</v>
      </c>
      <c r="F87" s="26">
        <v>1529322955</v>
      </c>
    </row>
    <row r="90" spans="1:6" x14ac:dyDescent="0.35">
      <c r="A90" s="56" t="s">
        <v>241</v>
      </c>
      <c r="B90" s="12" t="s">
        <v>242</v>
      </c>
    </row>
    <row r="91" spans="1:6" x14ac:dyDescent="0.35">
      <c r="A91" s="54"/>
      <c r="B91" s="52"/>
      <c r="C91" s="52">
        <v>2018</v>
      </c>
      <c r="D91" s="52">
        <v>2019</v>
      </c>
      <c r="E91" s="52">
        <v>2020</v>
      </c>
      <c r="F91" s="52">
        <v>2021</v>
      </c>
    </row>
    <row r="92" spans="1:6" x14ac:dyDescent="0.35">
      <c r="A92" s="54"/>
      <c r="B92" s="26"/>
      <c r="C92" s="26">
        <v>7802163843</v>
      </c>
      <c r="D92" s="26">
        <v>9387343330</v>
      </c>
      <c r="E92" s="26">
        <v>9005020193</v>
      </c>
      <c r="F92" s="26">
        <v>5912533086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E10D4-F8D0-4F63-8218-8AFCA2C2BF71}">
  <dimension ref="A1:I24"/>
  <sheetViews>
    <sheetView workbookViewId="0">
      <selection activeCell="I25" sqref="I25"/>
    </sheetView>
  </sheetViews>
  <sheetFormatPr defaultColWidth="8.6328125" defaultRowHeight="14.5" x14ac:dyDescent="0.35"/>
  <cols>
    <col min="1" max="1" width="60.6328125" style="12" customWidth="1"/>
    <col min="2" max="7" width="15.6328125" style="12" customWidth="1"/>
    <col min="8" max="8" width="30.6328125" style="12" customWidth="1"/>
    <col min="9" max="9" width="13.08984375" style="12" customWidth="1"/>
    <col min="10" max="18" width="15.6328125" style="12" customWidth="1"/>
    <col min="19" max="19" width="8.6328125" style="12"/>
    <col min="20" max="20" width="45.6328125" style="12" customWidth="1"/>
    <col min="21" max="16384" width="8.6328125" style="12"/>
  </cols>
  <sheetData>
    <row r="1" spans="1:9" ht="18.5" x14ac:dyDescent="0.45">
      <c r="A1" s="50" t="s">
        <v>243</v>
      </c>
      <c r="B1" s="51"/>
    </row>
    <row r="2" spans="1:9" x14ac:dyDescent="0.35">
      <c r="A2" s="21"/>
    </row>
    <row r="3" spans="1:9" x14ac:dyDescent="0.35">
      <c r="A3" s="12" t="s">
        <v>244</v>
      </c>
      <c r="B3" s="19" t="s">
        <v>245</v>
      </c>
      <c r="I3" s="21"/>
    </row>
    <row r="5" spans="1:9" x14ac:dyDescent="0.35">
      <c r="A5" s="29"/>
      <c r="B5" s="30" t="s">
        <v>21</v>
      </c>
      <c r="C5" s="52">
        <v>2017</v>
      </c>
      <c r="D5" s="52">
        <v>2018</v>
      </c>
      <c r="E5" s="52">
        <v>2019</v>
      </c>
      <c r="F5" s="52">
        <v>2020</v>
      </c>
      <c r="G5" s="52">
        <v>2021</v>
      </c>
    </row>
    <row r="6" spans="1:9" x14ac:dyDescent="0.35">
      <c r="A6" s="29" t="s">
        <v>246</v>
      </c>
      <c r="B6" s="33" t="s">
        <v>119</v>
      </c>
      <c r="C6" s="26">
        <v>7035510000</v>
      </c>
      <c r="D6" s="26">
        <f>AVERAGE(C6,E6)</f>
        <v>6071050000</v>
      </c>
      <c r="E6" s="26">
        <f>5106590000*(1+I20)</f>
        <v>5106590000</v>
      </c>
      <c r="F6" s="26">
        <f>4438360000*(1+I22)</f>
        <v>4438360000</v>
      </c>
      <c r="G6" s="26">
        <f>3930380000*(1+I24)</f>
        <v>3930380000</v>
      </c>
    </row>
    <row r="7" spans="1:9" x14ac:dyDescent="0.35">
      <c r="A7" s="29" t="s">
        <v>247</v>
      </c>
      <c r="B7" s="33" t="s">
        <v>119</v>
      </c>
      <c r="C7" s="26"/>
      <c r="D7" s="26">
        <f>8144270000*(1+I18)</f>
        <v>8144270000</v>
      </c>
      <c r="E7" s="26">
        <f>5948320000*(1+I20)</f>
        <v>5948320000</v>
      </c>
      <c r="F7" s="26">
        <f>6424540000*(1+I22)</f>
        <v>6424540000</v>
      </c>
      <c r="G7" s="26">
        <f>6026100000*(1+I24)</f>
        <v>6026100000</v>
      </c>
    </row>
    <row r="8" spans="1:9" x14ac:dyDescent="0.35">
      <c r="A8" s="29" t="s">
        <v>248</v>
      </c>
      <c r="B8" s="33" t="s">
        <v>119</v>
      </c>
      <c r="C8" s="26"/>
      <c r="D8" s="26">
        <f>360749000*(1+I18)</f>
        <v>360749000</v>
      </c>
      <c r="E8" s="26">
        <f>158098000*(1+I20)</f>
        <v>158098000</v>
      </c>
      <c r="F8" s="26">
        <f>103175000*(1+I22)</f>
        <v>103175000</v>
      </c>
      <c r="G8" s="26">
        <f>45128600*(1+I24)</f>
        <v>45128600</v>
      </c>
    </row>
    <row r="9" spans="1:9" x14ac:dyDescent="0.35">
      <c r="A9" s="29" t="s">
        <v>249</v>
      </c>
      <c r="B9" s="33" t="s">
        <v>119</v>
      </c>
      <c r="C9" s="26"/>
      <c r="D9" s="26">
        <f>356416000*(1+I18)</f>
        <v>356416000</v>
      </c>
      <c r="E9" s="26">
        <f>79815800*(1+I20)</f>
        <v>79815800</v>
      </c>
      <c r="F9" s="26">
        <f>81615500*(1+I22)</f>
        <v>81615500</v>
      </c>
      <c r="G9" s="26">
        <f>64933600*(1+I24)</f>
        <v>64933600</v>
      </c>
    </row>
    <row r="10" spans="1:9" x14ac:dyDescent="0.35">
      <c r="A10" s="29" t="s">
        <v>250</v>
      </c>
      <c r="B10" s="33" t="s">
        <v>119</v>
      </c>
      <c r="C10" s="26"/>
      <c r="D10" s="26">
        <f>717165000*(1+I18)</f>
        <v>717165000</v>
      </c>
      <c r="E10" s="26">
        <f>237914000*(1+I20)</f>
        <v>237914000</v>
      </c>
      <c r="F10" s="26">
        <f>184790000*(1+I22)</f>
        <v>184790000</v>
      </c>
      <c r="G10" s="26">
        <f>110062000*(1+I24)</f>
        <v>110062000</v>
      </c>
    </row>
    <row r="11" spans="1:9" x14ac:dyDescent="0.35">
      <c r="A11" s="29" t="s">
        <v>251</v>
      </c>
      <c r="B11" s="33" t="s">
        <v>119</v>
      </c>
      <c r="C11" s="26"/>
      <c r="D11" s="26">
        <f>2366640000*(1+I18)</f>
        <v>2366640000</v>
      </c>
      <c r="E11" s="26">
        <f>2463320000*(1+I20)</f>
        <v>2463320000</v>
      </c>
      <c r="F11" s="26">
        <f>2945570000*(1+I22)</f>
        <v>2945570000</v>
      </c>
      <c r="G11" s="26">
        <f>2744210000*(1+I24)</f>
        <v>2744210000</v>
      </c>
    </row>
    <row r="12" spans="1:9" x14ac:dyDescent="0.35">
      <c r="C12"/>
    </row>
    <row r="13" spans="1:9" x14ac:dyDescent="0.35">
      <c r="A13" s="21"/>
    </row>
    <row r="14" spans="1:9" x14ac:dyDescent="0.35">
      <c r="B14"/>
      <c r="C14" s="189"/>
      <c r="D14" s="189"/>
      <c r="E14" s="189"/>
      <c r="F14" s="188"/>
    </row>
    <row r="15" spans="1:9" ht="14.75" customHeight="1" x14ac:dyDescent="0.35">
      <c r="A15" s="2"/>
      <c r="B15" s="21"/>
      <c r="C15" s="188"/>
      <c r="D15" s="188"/>
      <c r="E15" s="188"/>
      <c r="F15" s="188"/>
    </row>
    <row r="16" spans="1:9" x14ac:dyDescent="0.35">
      <c r="C16" s="155" t="s">
        <v>252</v>
      </c>
      <c r="D16" s="154"/>
      <c r="E16" s="154"/>
      <c r="F16" s="154"/>
      <c r="G16" s="154"/>
      <c r="H16" s="154"/>
      <c r="I16" s="154"/>
    </row>
    <row r="17" spans="3:9" x14ac:dyDescent="0.35">
      <c r="C17" s="174"/>
      <c r="D17" s="174"/>
      <c r="E17" s="174"/>
      <c r="F17" s="174"/>
      <c r="G17" s="174"/>
      <c r="H17" s="174"/>
      <c r="I17" s="174"/>
    </row>
    <row r="18" spans="3:9" x14ac:dyDescent="0.35">
      <c r="C18" s="155" t="s">
        <v>253</v>
      </c>
      <c r="D18" s="151"/>
      <c r="E18" s="151"/>
      <c r="F18" s="151"/>
      <c r="G18" s="151"/>
      <c r="H18" s="151"/>
      <c r="I18" s="8">
        <v>0</v>
      </c>
    </row>
    <row r="20" spans="3:9" x14ac:dyDescent="0.35">
      <c r="C20" s="155" t="s">
        <v>254</v>
      </c>
      <c r="D20" s="154"/>
      <c r="E20" s="154"/>
      <c r="F20" s="154"/>
      <c r="G20" s="154"/>
      <c r="H20" s="154"/>
      <c r="I20" s="8">
        <v>0</v>
      </c>
    </row>
    <row r="22" spans="3:9" x14ac:dyDescent="0.35">
      <c r="C22" s="155" t="s">
        <v>254</v>
      </c>
      <c r="D22" s="154"/>
      <c r="E22" s="154"/>
      <c r="F22" s="154"/>
      <c r="G22" s="154"/>
      <c r="H22" s="154"/>
      <c r="I22" s="8">
        <v>0</v>
      </c>
    </row>
    <row r="24" spans="3:9" x14ac:dyDescent="0.35">
      <c r="C24" s="155" t="s">
        <v>255</v>
      </c>
      <c r="D24" s="151"/>
      <c r="E24" s="151"/>
      <c r="F24" s="151"/>
      <c r="G24" s="151"/>
      <c r="H24" s="151"/>
      <c r="I24" s="8">
        <v>0</v>
      </c>
    </row>
  </sheetData>
  <hyperlinks>
    <hyperlink ref="B3" xr:uid="{48C04EA8-64FE-482B-8C23-870E2ABC9F98}"/>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256F-E1E0-4B41-B532-79A7FABE58DA}">
  <sheetPr>
    <tabColor theme="3" tint="0.79998168889431442"/>
  </sheetPr>
  <dimension ref="B2"/>
  <sheetViews>
    <sheetView workbookViewId="0">
      <selection activeCell="J15" sqref="J15"/>
    </sheetView>
  </sheetViews>
  <sheetFormatPr defaultColWidth="8.54296875" defaultRowHeight="14.5" x14ac:dyDescent="0.35"/>
  <cols>
    <col min="1" max="16384" width="8.54296875" style="12"/>
  </cols>
  <sheetData>
    <row r="2" spans="2:2" x14ac:dyDescent="0.35">
      <c r="B2" s="12" t="s">
        <v>174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071C4-1AA2-449B-814F-C52AEDD62369}">
  <dimension ref="A1:Z24"/>
  <sheetViews>
    <sheetView zoomScaleNormal="100" workbookViewId="0">
      <selection activeCell="C10" sqref="C10"/>
    </sheetView>
  </sheetViews>
  <sheetFormatPr defaultColWidth="15.6328125" defaultRowHeight="14.5" x14ac:dyDescent="0.35"/>
  <cols>
    <col min="1" max="1" width="45.6328125" style="12" customWidth="1"/>
    <col min="2" max="24" width="15.6328125" style="12"/>
    <col min="25" max="26" width="45.6328125" style="12" customWidth="1"/>
    <col min="27" max="16384" width="15.6328125" style="12"/>
  </cols>
  <sheetData>
    <row r="1" spans="1:26" s="21" customFormat="1" ht="18.5" x14ac:dyDescent="0.45">
      <c r="A1" s="50" t="s">
        <v>154</v>
      </c>
      <c r="B1" s="48"/>
      <c r="C1" s="48"/>
      <c r="D1" s="48"/>
      <c r="E1" s="48"/>
      <c r="F1" s="48"/>
      <c r="G1" s="48"/>
      <c r="H1" s="48"/>
      <c r="I1" s="48"/>
      <c r="J1" s="48"/>
      <c r="K1" s="48"/>
      <c r="L1" s="48"/>
      <c r="M1" s="48"/>
      <c r="N1" s="48"/>
      <c r="O1" s="48"/>
      <c r="P1" s="48"/>
      <c r="Q1" s="48"/>
      <c r="R1" s="48"/>
      <c r="S1" s="48"/>
      <c r="T1" s="48"/>
      <c r="U1" s="48"/>
      <c r="V1" s="48"/>
      <c r="W1" s="48"/>
      <c r="X1" s="48"/>
    </row>
    <row r="2" spans="1:26" x14ac:dyDescent="0.35">
      <c r="Y2" s="21" t="s">
        <v>26</v>
      </c>
      <c r="Z2" s="21" t="s">
        <v>22</v>
      </c>
    </row>
    <row r="3" spans="1:26" x14ac:dyDescent="0.35">
      <c r="A3" s="17" t="s">
        <v>155</v>
      </c>
      <c r="B3" s="8">
        <v>0.27500000000000002</v>
      </c>
      <c r="C3" s="15" t="s">
        <v>156</v>
      </c>
      <c r="Y3" s="12" t="s">
        <v>361</v>
      </c>
    </row>
    <row r="4" spans="1:26" x14ac:dyDescent="0.35">
      <c r="B4" s="15"/>
      <c r="C4" s="15"/>
    </row>
    <row r="6" spans="1:26" x14ac:dyDescent="0.35">
      <c r="C6" s="12" t="s">
        <v>440</v>
      </c>
      <c r="D6" s="216" cm="1">
        <f t="array" ref="D6:W6">years</f>
        <v>2018</v>
      </c>
      <c r="E6" s="216">
        <v>2019</v>
      </c>
      <c r="F6" s="216">
        <v>2020</v>
      </c>
      <c r="G6" s="216">
        <v>2021</v>
      </c>
      <c r="H6" s="216">
        <v>2022</v>
      </c>
      <c r="I6" s="216">
        <v>2023</v>
      </c>
      <c r="J6" s="216">
        <v>2024</v>
      </c>
      <c r="K6" s="216">
        <v>2025</v>
      </c>
      <c r="L6" s="216">
        <v>2026</v>
      </c>
      <c r="M6" s="198">
        <v>2027</v>
      </c>
      <c r="N6" s="198">
        <v>2028</v>
      </c>
      <c r="O6" s="198">
        <v>2029</v>
      </c>
      <c r="P6" s="198">
        <v>2030</v>
      </c>
      <c r="Q6" s="198">
        <v>2031</v>
      </c>
      <c r="R6" s="198">
        <v>2032</v>
      </c>
      <c r="S6" s="198">
        <v>2033</v>
      </c>
      <c r="T6" s="198">
        <v>2034</v>
      </c>
      <c r="U6" s="198">
        <v>2035</v>
      </c>
      <c r="V6" s="198">
        <v>2036</v>
      </c>
      <c r="W6" s="198">
        <v>2037</v>
      </c>
    </row>
    <row r="7" spans="1:26" x14ac:dyDescent="0.35">
      <c r="A7" s="17" t="s">
        <v>157</v>
      </c>
      <c r="B7" s="17"/>
      <c r="C7" s="213"/>
      <c r="D7" s="187">
        <f>INDEX('Macroeconomic data'!$C$28:$AA$30, MATCH(Summary!$B$22,_xlfn.ANCHORARRAY('Macroeconomic data'!$B$28),0), MATCH('Macroeconomic data'!H27,'Macroeconomic data'!$C27:$AA27,0))</f>
        <v>13.246775199999993</v>
      </c>
      <c r="E7" s="187">
        <f>INDEX('Macroeconomic data'!$C$28:$AA$30, MATCH(Summary!$B$22,_xlfn.ANCHORARRAY('Macroeconomic data'!$B$28),0), MATCH('Macroeconomic data'!I27,'Macroeconomic data'!$C27:$AA27,0))</f>
        <v>14.451177510040162</v>
      </c>
      <c r="F7" s="187">
        <f>INDEX('Macroeconomic data'!$C$28:$AA$30, MATCH(Summary!$B$22,_xlfn.ANCHORARRAY('Macroeconomic data'!$B$28),0), MATCH('Macroeconomic data'!J27,'Macroeconomic data'!$C27:$AA27,0))</f>
        <v>16.441369841269843</v>
      </c>
      <c r="G7" s="187">
        <f>INDEX('Macroeconomic data'!$C$28:$AA$30, MATCH(Summary!$B$22,_xlfn.ANCHORARRAY('Macroeconomic data'!$B$28),0), MATCH('Macroeconomic data'!K27,'Macroeconomic data'!$C27:$AA27,0))</f>
        <v>14.783901599999995</v>
      </c>
      <c r="H7" s="187">
        <f>INDEX('Macroeconomic data'!$C$28:$AA$30, MATCH(Summary!$B$22,_xlfn.ANCHORARRAY('Macroeconomic data'!$B$28),0), MATCH('Macroeconomic data'!L27,'Macroeconomic data'!$C27:$AA27,0))</f>
        <v>16.381369199999995</v>
      </c>
      <c r="I7" s="187">
        <f>INDEX('Macroeconomic data'!$C$28:$AA$30, MATCH(Summary!$B$22,_xlfn.ANCHORARRAY('Macroeconomic data'!$B$28),0), MATCH('Macroeconomic data'!M27,'Macroeconomic data'!$C27:$AA27,0))</f>
        <v>18.447499999999998</v>
      </c>
      <c r="J7" s="187">
        <f>INDEX('Macroeconomic data'!$C$28:$AA$30, MATCH(Summary!$B$22,_xlfn.ANCHORARRAY('Macroeconomic data'!$B$28),0), MATCH('Macroeconomic data'!N27,'Macroeconomic data'!$C27:$AA27,0))</f>
        <v>17.75</v>
      </c>
      <c r="K7" s="187">
        <f>INDEX('Macroeconomic data'!$C$28:$AA$30, MATCH(Summary!$B$22,_xlfn.ANCHORARRAY('Macroeconomic data'!$B$28),0), MATCH('Macroeconomic data'!O27,'Macroeconomic data'!$C27:$AA27,0))</f>
        <v>17.3</v>
      </c>
      <c r="L7" s="187">
        <f>INDEX('Macroeconomic data'!$C$28:$AA$30, MATCH(Summary!$B$22,_xlfn.ANCHORARRAY('Macroeconomic data'!$B$28),0), MATCH('Macroeconomic data'!P27,'Macroeconomic data'!$C27:$AA27,0))</f>
        <v>17.972495345689182</v>
      </c>
      <c r="M7" s="187">
        <f>INDEX('Macroeconomic data'!$C$28:$AA$30, MATCH(Summary!$B$22,_xlfn.ANCHORARRAY('Macroeconomic data'!$B$28),0), MATCH('Macroeconomic data'!Q27,'Macroeconomic data'!$C27:$AA27,0))</f>
        <v>18.671132309295913</v>
      </c>
      <c r="N7" s="187">
        <f>INDEX('Macroeconomic data'!$C$28:$AA$30, MATCH(Summary!$B$22,_xlfn.ANCHORARRAY('Macroeconomic data'!$B$28),0), MATCH('Macroeconomic data'!R27,'Macroeconomic data'!$C27:$AA27,0))</f>
        <v>19.396927082518364</v>
      </c>
      <c r="O7" s="187">
        <f>INDEX('Macroeconomic data'!$C$28:$AA$30, MATCH(Summary!$B$22,_xlfn.ANCHORARRAY('Macroeconomic data'!$B$28),0), MATCH('Macroeconomic data'!S27,'Macroeconomic data'!$C27:$AA27,0))</f>
        <v>20.15093535903085</v>
      </c>
      <c r="P7" s="187">
        <f>INDEX('Macroeconomic data'!$C$28:$AA$30, MATCH(Summary!$B$22,_xlfn.ANCHORARRAY('Macroeconomic data'!$B$28),0), MATCH('Macroeconomic data'!T27,'Macroeconomic data'!$C27:$AA27,0))</f>
        <v>20.934253870026907</v>
      </c>
      <c r="Q7" s="187">
        <f>INDEX('Macroeconomic data'!$C$28:$AA$30, MATCH(Summary!$B$22,_xlfn.ANCHORARRAY('Macroeconomic data'!$B$28),0), MATCH('Macroeconomic data'!U27,'Macroeconomic data'!$C27:$AA27,0))</f>
        <v>21.341137924739876</v>
      </c>
      <c r="R7" s="187">
        <f>INDEX('Macroeconomic data'!$C$28:$AA$30, MATCH(Summary!$B$22,_xlfn.ANCHORARRAY('Macroeconomic data'!$B$28),0), MATCH('Macroeconomic data'!V27,'Macroeconomic data'!$C27:$AA27,0))</f>
        <v>21.755930292546186</v>
      </c>
      <c r="S7" s="187">
        <f>INDEX('Macroeconomic data'!$C$28:$AA$30, MATCH(Summary!$B$22,_xlfn.ANCHORARRAY('Macroeconomic data'!$B$28),0), MATCH('Macroeconomic data'!W27,'Macroeconomic data'!$C27:$AA27,0))</f>
        <v>22.178784681646633</v>
      </c>
      <c r="T7" s="187">
        <f>INDEX('Macroeconomic data'!$C$28:$AA$30, MATCH(Summary!$B$22,_xlfn.ANCHORARRAY('Macroeconomic data'!$B$28),0), MATCH('Macroeconomic data'!X27,'Macroeconomic data'!$C27:$AA27,0))</f>
        <v>22.6098577877579</v>
      </c>
      <c r="U7" s="187">
        <f>INDEX('Macroeconomic data'!$C$28:$AA$30, MATCH(Summary!$B$22,_xlfn.ANCHORARRAY('Macroeconomic data'!$B$28),0), MATCH('Macroeconomic data'!Y27,'Macroeconomic data'!$C27:$AA27,0))</f>
        <v>23.049309352178749</v>
      </c>
      <c r="V7" s="187">
        <f>INDEX('Macroeconomic data'!$C$28:$AA$30, MATCH(Summary!$B$22,_xlfn.ANCHORARRAY('Macroeconomic data'!$B$28),0), MATCH('Macroeconomic data'!Z27,'Macroeconomic data'!$C27:$AA27,0))</f>
        <v>23.049309352178749</v>
      </c>
      <c r="W7" s="187">
        <f>INDEX('Macroeconomic data'!$C$28:$AA$30, MATCH(Summary!$B$22,_xlfn.ANCHORARRAY('Macroeconomic data'!$B$28),0), MATCH('Macroeconomic data'!AA27,'Macroeconomic data'!$C27:$AA27,0))</f>
        <v>23.049309352178749</v>
      </c>
      <c r="Y7" s="210"/>
    </row>
    <row r="8" spans="1:26" x14ac:dyDescent="0.35">
      <c r="A8" s="17" t="s">
        <v>158</v>
      </c>
      <c r="B8" s="17"/>
      <c r="C8" s="213"/>
      <c r="D8" s="187">
        <f>INDEX('Macroeconomic data'!$C$33:$AA$35, MATCH(Summary!$B$22,_xlfn.ANCHORARRAY('Macroeconomic data'!$B$33),0), MATCH('Macroeconomic data'!H32,'Macroeconomic data'!$C32:$AA32,0))</f>
        <v>17.641773199999999</v>
      </c>
      <c r="E8" s="187">
        <f>INDEX('Macroeconomic data'!$C$33:$AA$35, MATCH(Summary!$B$22,_xlfn.ANCHORARRAY('Macroeconomic data'!$B$33),0), MATCH('Macroeconomic data'!I32,'Macroeconomic data'!$C32:$AA32,0))</f>
        <v>18.430149397590366</v>
      </c>
      <c r="F8" s="187">
        <f>INDEX('Macroeconomic data'!$C$33:$AA$35, MATCH(Summary!$B$22,_xlfn.ANCHORARRAY('Macroeconomic data'!$B$33),0), MATCH('Macroeconomic data'!J32,'Macroeconomic data'!$C32:$AA32,0))</f>
        <v>21.072238492063484</v>
      </c>
      <c r="G8" s="187">
        <f>INDEX('Macroeconomic data'!$C$33:$AA$35, MATCH(Summary!$B$22,_xlfn.ANCHORARRAY('Macroeconomic data'!$B$33),0), MATCH('Macroeconomic data'!K32,'Macroeconomic data'!$C32:$AA32,0))</f>
        <v>20.328223200000007</v>
      </c>
      <c r="H8" s="187">
        <f>INDEX('Macroeconomic data'!$C$33:$AA$35, MATCH(Summary!$B$22,_xlfn.ANCHORARRAY('Macroeconomic data'!$B$33),0), MATCH('Macroeconomic data'!L32,'Macroeconomic data'!$C32:$AA32,0))</f>
        <v>20.179558399999998</v>
      </c>
      <c r="I8" s="187">
        <f>INDEX('Macroeconomic data'!$C$33:$AA$35, MATCH(Summary!$B$22,_xlfn.ANCHORARRAY('Macroeconomic data'!$B$33),0), MATCH('Macroeconomic data'!M32,'Macroeconomic data'!$C32:$AA32,0))</f>
        <v>22.925000000000001</v>
      </c>
      <c r="J8" s="187">
        <f>INDEX('Macroeconomic data'!$C$33:$AA$35, MATCH(Summary!$B$22,_xlfn.ANCHORARRAY('Macroeconomic data'!$B$33),0), MATCH('Macroeconomic data'!N32,'Macroeconomic data'!$C32:$AA32,0))</f>
        <v>22.232500000000002</v>
      </c>
      <c r="K8" s="187">
        <f>INDEX('Macroeconomic data'!$C$33:$AA$35, MATCH(Summary!$B$22,_xlfn.ANCHORARRAY('Macroeconomic data'!$B$33),0), MATCH('Macroeconomic data'!O32,'Macroeconomic data'!$C32:$AA32,0))</f>
        <v>22.317499999999999</v>
      </c>
      <c r="L8" s="187">
        <f>INDEX('Macroeconomic data'!$C$33:$AA$35, MATCH(Summary!$B$22,_xlfn.ANCHORARRAY('Macroeconomic data'!$B$33),0), MATCH('Macroeconomic data'!P32,'Macroeconomic data'!$C32:$AA32,0))</f>
        <v>23.079783490908842</v>
      </c>
      <c r="M8" s="187">
        <f>INDEX('Macroeconomic data'!$C$33:$AA$35, MATCH(Summary!$B$22,_xlfn.ANCHORARRAY('Macroeconomic data'!$B$33),0), MATCH('Macroeconomic data'!Q32,'Macroeconomic data'!$C32:$AA32,0))</f>
        <v>23.868103774492141</v>
      </c>
      <c r="N8" s="187">
        <f>INDEX('Macroeconomic data'!$C$33:$AA$35, MATCH(Summary!$B$22,_xlfn.ANCHORARRAY('Macroeconomic data'!$B$33),0), MATCH('Macroeconomic data'!R32,'Macroeconomic data'!$C32:$AA32,0))</f>
        <v>24.683350171561454</v>
      </c>
      <c r="O8" s="187">
        <f>INDEX('Macroeconomic data'!$C$33:$AA$35, MATCH(Summary!$B$22,_xlfn.ANCHORARRAY('Macroeconomic data'!$B$33),0), MATCH('Macroeconomic data'!S32,'Macroeconomic data'!$C32:$AA32,0))</f>
        <v>25.526442378847364</v>
      </c>
      <c r="P8" s="187">
        <f>INDEX('Macroeconomic data'!$C$33:$AA$35, MATCH(Summary!$B$22,_xlfn.ANCHORARRAY('Macroeconomic data'!$B$33),0), MATCH('Macroeconomic data'!T32,'Macroeconomic data'!$C32:$AA32,0))</f>
        <v>26.398331506528834</v>
      </c>
      <c r="Q8" s="187">
        <f>INDEX('Macroeconomic data'!$C$33:$AA$35, MATCH(Summary!$B$22,_xlfn.ANCHORARRAY('Macroeconomic data'!$B$33),0), MATCH('Macroeconomic data'!U32,'Macroeconomic data'!$C32:$AA32,0))</f>
        <v>26.849166328864797</v>
      </c>
      <c r="R8" s="187">
        <f>INDEX('Macroeconomic data'!$C$33:$AA$35, MATCH(Summary!$B$22,_xlfn.ANCHORARRAY('Macroeconomic data'!$B$33),0), MATCH('Macroeconomic data'!V32,'Macroeconomic data'!$C32:$AA32,0))</f>
        <v>27.307700578605118</v>
      </c>
      <c r="S8" s="187">
        <f>INDEX('Macroeconomic data'!$C$33:$AA$35, MATCH(Summary!$B$22,_xlfn.ANCHORARRAY('Macroeconomic data'!$B$33),0), MATCH('Macroeconomic data'!W32,'Macroeconomic data'!$C32:$AA32,0))</f>
        <v>27.774065747771751</v>
      </c>
      <c r="T8" s="187">
        <f>INDEX('Macroeconomic data'!$C$33:$AA$35, MATCH(Summary!$B$22,_xlfn.ANCHORARRAY('Macroeconomic data'!$B$33),0), MATCH('Macroeconomic data'!X32,'Macroeconomic data'!$C32:$AA32,0))</f>
        <v>28.248395574027899</v>
      </c>
      <c r="U8" s="187">
        <f>INDEX('Macroeconomic data'!$C$33:$AA$35, MATCH(Summary!$B$22,_xlfn.ANCHORARRAY('Macroeconomic data'!$B$33),0), MATCH('Macroeconomic data'!Y32,'Macroeconomic data'!$C32:$AA32,0))</f>
        <v>28.730826079029445</v>
      </c>
      <c r="V8" s="187">
        <f>INDEX('Macroeconomic data'!$C$33:$AA$35, MATCH(Summary!$B$22,_xlfn.ANCHORARRAY('Macroeconomic data'!$B$33),0), MATCH('Macroeconomic data'!Z32,'Macroeconomic data'!$C32:$AA32,0))</f>
        <v>28.730826079029445</v>
      </c>
      <c r="W8" s="187">
        <f>INDEX('Macroeconomic data'!$C$33:$AA$35, MATCH(Summary!$B$22,_xlfn.ANCHORARRAY('Macroeconomic data'!$B$33),0), MATCH('Macroeconomic data'!AA32,'Macroeconomic data'!$C32:$AA32,0))</f>
        <v>28.730826079029445</v>
      </c>
    </row>
    <row r="9" spans="1:26" x14ac:dyDescent="0.35">
      <c r="A9" s="17" t="s">
        <v>159</v>
      </c>
      <c r="B9" s="17"/>
      <c r="C9" s="213"/>
      <c r="D9" s="187">
        <f>INDEX('Macroeconomic data'!$C$39:$AA$41, MATCH(Summary!$B$22,_xlfn.ANCHORARRAY('Macroeconomic data'!$B$39),0), MATCH('Macroeconomic data'!H38,'Macroeconomic data'!$C38:$AA38,0))</f>
        <v>15.610738</v>
      </c>
      <c r="E9" s="187">
        <f>INDEX('Macroeconomic data'!$C$39:$AA$41, MATCH(Summary!$B$22,_xlfn.ANCHORARRAY('Macroeconomic data'!$B$39),0), MATCH('Macroeconomic data'!I38,'Macroeconomic data'!$C38:$AA38,0))</f>
        <v>16.17564016064258</v>
      </c>
      <c r="F9" s="187">
        <f>INDEX('Macroeconomic data'!$C$39:$AA$41, MATCH(Summary!$B$22,_xlfn.ANCHORARRAY('Macroeconomic data'!$B$39),0), MATCH('Macroeconomic data'!J38,'Macroeconomic data'!$C38:$AA38,0))</f>
        <v>18.757049999999992</v>
      </c>
      <c r="G9" s="187">
        <f>INDEX('Macroeconomic data'!$C$39:$AA$41, MATCH(Summary!$B$22,_xlfn.ANCHORARRAY('Macroeconomic data'!$B$39),0), MATCH('Macroeconomic data'!K38,'Macroeconomic data'!$C38:$AA38,0))</f>
        <v>17.480877599999989</v>
      </c>
      <c r="H9" s="187">
        <f>INDEX('Macroeconomic data'!$C$39:$AA$41, MATCH(Summary!$B$22,_xlfn.ANCHORARRAY('Macroeconomic data'!$B$39),0), MATCH('Macroeconomic data'!L38,'Macroeconomic data'!$C38:$AA38,0))</f>
        <v>17.2063676</v>
      </c>
      <c r="I9" s="187">
        <f>INDEX('Macroeconomic data'!$C$39:$AA$41, MATCH(Summary!$B$22,_xlfn.ANCHORARRAY('Macroeconomic data'!$B$39),0), MATCH('Macroeconomic data'!M38,'Macroeconomic data'!$C38:$AA38,0))</f>
        <v>19.927500000000002</v>
      </c>
      <c r="J9" s="187">
        <f>INDEX('Macroeconomic data'!$C$39:$AA$41, MATCH(Summary!$B$22,_xlfn.ANCHORARRAY('Macroeconomic data'!$B$39),0), MATCH('Macroeconomic data'!N38,'Macroeconomic data'!$C38:$AA38,0))</f>
        <v>19.37</v>
      </c>
      <c r="K9" s="187">
        <f>INDEX('Macroeconomic data'!$C$39:$AA$41, MATCH(Summary!$B$22,_xlfn.ANCHORARRAY('Macroeconomic data'!$B$39),0), MATCH('Macroeconomic data'!O38,'Macroeconomic data'!$C38:$AA38,0))</f>
        <v>19.982500000000002</v>
      </c>
      <c r="L9" s="187">
        <f>INDEX('Macroeconomic data'!$C$39:$AA$41, MATCH(Summary!$B$22,_xlfn.ANCHORARRAY('Macroeconomic data'!$B$39),0), MATCH('Macroeconomic data'!P38,'Macroeconomic data'!$C38:$AA38,0))</f>
        <v>20.699882339904839</v>
      </c>
      <c r="M9" s="187">
        <f>INDEX('Macroeconomic data'!$C$39:$AA$41, MATCH(Summary!$B$22,_xlfn.ANCHORARRAY('Macroeconomic data'!$B$39),0), MATCH('Macroeconomic data'!Q38,'Macroeconomic data'!$C38:$AA38,0))</f>
        <v>21.443019085995456</v>
      </c>
      <c r="N9" s="187">
        <f>INDEX('Macroeconomic data'!$C$39:$AA$41, MATCH(Summary!$B$22,_xlfn.ANCHORARRAY('Macroeconomic data'!$B$39),0), MATCH('Macroeconomic data'!R38,'Macroeconomic data'!$C38:$AA38,0))</f>
        <v>22.212834835102697</v>
      </c>
      <c r="O9" s="187">
        <f>INDEX('Macroeconomic data'!$C$39:$AA$41, MATCH(Summary!$B$22,_xlfn.ANCHORARRAY('Macroeconomic data'!$B$39),0), MATCH('Macroeconomic data'!S38,'Macroeconomic data'!$C38:$AA38,0))</f>
        <v>23.01028737757364</v>
      </c>
      <c r="P9" s="187">
        <f>INDEX('Macroeconomic data'!$C$39:$AA$41, MATCH(Summary!$B$22,_xlfn.ANCHORARRAY('Macroeconomic data'!$B$39),0), MATCH('Macroeconomic data'!T38,'Macroeconomic data'!$C38:$AA38,0))</f>
        <v>23.836368888936406</v>
      </c>
      <c r="Q9" s="187">
        <f>INDEX('Macroeconomic data'!$C$39:$AA$41, MATCH(Summary!$B$22,_xlfn.ANCHORARRAY('Macroeconomic data'!$B$39),0), MATCH('Macroeconomic data'!U38,'Macroeconomic data'!$C38:$AA38,0))</f>
        <v>24.264238026641397</v>
      </c>
      <c r="R9" s="187">
        <f>INDEX('Macroeconomic data'!$C$39:$AA$41, MATCH(Summary!$B$22,_xlfn.ANCHORARRAY('Macroeconomic data'!$B$39),0), MATCH('Macroeconomic data'!V38,'Macroeconomic data'!$C38:$AA38,0))</f>
        <v>24.699787528744732</v>
      </c>
      <c r="S9" s="187">
        <f>INDEX('Macroeconomic data'!$C$39:$AA$41, MATCH(Summary!$B$22,_xlfn.ANCHORARRAY('Macroeconomic data'!$B$39),0), MATCH('Macroeconomic data'!W38,'Macroeconomic data'!$C38:$AA38,0))</f>
        <v>25.143155259822503</v>
      </c>
      <c r="T9" s="187">
        <f>INDEX('Macroeconomic data'!$C$39:$AA$41, MATCH(Summary!$B$22,_xlfn.ANCHORARRAY('Macroeconomic data'!$B$39),0), MATCH('Macroeconomic data'!X38,'Macroeconomic data'!$C38:$AA38,0))</f>
        <v>25.59448155915647</v>
      </c>
      <c r="U9" s="187">
        <f>INDEX('Macroeconomic data'!$C$39:$AA$41, MATCH(Summary!$B$22,_xlfn.ANCHORARRAY('Macroeconomic data'!$B$39),0), MATCH('Macroeconomic data'!Y38,'Macroeconomic data'!$C38:$AA38,0))</f>
        <v>26.053909285155687</v>
      </c>
      <c r="V9" s="187">
        <f>INDEX('Macroeconomic data'!$C$39:$AA$41, MATCH(Summary!$B$22,_xlfn.ANCHORARRAY('Macroeconomic data'!$B$39),0), MATCH('Macroeconomic data'!Z38,'Macroeconomic data'!$C38:$AA38,0))</f>
        <v>26.053909285155687</v>
      </c>
      <c r="W9" s="187">
        <f>INDEX('Macroeconomic data'!$C$39:$AA$41, MATCH(Summary!$B$22,_xlfn.ANCHORARRAY('Macroeconomic data'!$B$39),0), MATCH('Macroeconomic data'!AA38,'Macroeconomic data'!$C38:$AA38,0))</f>
        <v>26.053909285155687</v>
      </c>
    </row>
    <row r="10" spans="1:26" x14ac:dyDescent="0.35">
      <c r="A10" s="17" t="s">
        <v>439</v>
      </c>
      <c r="B10" s="17"/>
      <c r="C10" s="238">
        <f>AVERAGE(E10:W10)</f>
        <v>2.8583056889039976E-2</v>
      </c>
      <c r="D10" s="187"/>
      <c r="E10" s="206">
        <f>E9/D9-1</f>
        <v>3.6186768405348957E-2</v>
      </c>
      <c r="F10" s="206">
        <f t="shared" ref="F10:I10" si="0">F9/E9-1</f>
        <v>0.15958625524066217</v>
      </c>
      <c r="G10" s="206">
        <f t="shared" si="0"/>
        <v>-6.8036946108263496E-2</v>
      </c>
      <c r="H10" s="206">
        <f t="shared" si="0"/>
        <v>-1.5703445003241057E-2</v>
      </c>
      <c r="I10" s="206">
        <f t="shared" si="0"/>
        <v>0.15814682466739827</v>
      </c>
      <c r="J10" s="206">
        <f t="shared" ref="J10" si="1">J9/I9-1</f>
        <v>-2.7976414502571822E-2</v>
      </c>
      <c r="K10" s="206">
        <f t="shared" ref="K10" si="2">K9/J9-1</f>
        <v>3.1621063500258062E-2</v>
      </c>
      <c r="L10" s="206">
        <f t="shared" ref="L10" si="3">L9/K9-1</f>
        <v>3.5900529958955874E-2</v>
      </c>
      <c r="M10" s="206">
        <f t="shared" ref="M10" si="4">M9/L9-1</f>
        <v>3.5900529958955874E-2</v>
      </c>
      <c r="N10" s="206">
        <f t="shared" ref="N10" si="5">N9/M9-1</f>
        <v>3.5900529958955874E-2</v>
      </c>
      <c r="O10" s="206">
        <f t="shared" ref="O10" si="6">O9/N9-1</f>
        <v>3.5900529958955874E-2</v>
      </c>
      <c r="P10" s="206">
        <f t="shared" ref="P10" si="7">P9/O9-1</f>
        <v>3.5900529958955874E-2</v>
      </c>
      <c r="Q10" s="206">
        <f t="shared" ref="Q10" si="8">Q9/P9-1</f>
        <v>1.7950264979477826E-2</v>
      </c>
      <c r="R10" s="206">
        <f t="shared" ref="R10" si="9">R9/Q9-1</f>
        <v>1.7950264979477826E-2</v>
      </c>
      <c r="S10" s="206">
        <f t="shared" ref="S10" si="10">S9/R9-1</f>
        <v>1.7950264979477826E-2</v>
      </c>
      <c r="T10" s="206">
        <f t="shared" ref="T10" si="11">T9/S9-1</f>
        <v>1.7950264979477826E-2</v>
      </c>
      <c r="U10" s="206">
        <f t="shared" ref="U10" si="12">U9/T9-1</f>
        <v>1.7950264979477826E-2</v>
      </c>
      <c r="V10" s="206">
        <f t="shared" ref="V10" si="13">V9/U9-1</f>
        <v>0</v>
      </c>
      <c r="W10" s="206">
        <f t="shared" ref="W10" si="14">W9/V9-1</f>
        <v>0</v>
      </c>
    </row>
    <row r="11" spans="1:26" x14ac:dyDescent="0.35">
      <c r="A11" s="17" t="s">
        <v>160</v>
      </c>
      <c r="B11" s="214"/>
      <c r="C11" s="215"/>
      <c r="D11" s="135">
        <f>'Macroeconomic data'!H5</f>
        <v>4.7E-2</v>
      </c>
      <c r="E11" s="135">
        <f>'Macroeconomic data'!I5</f>
        <v>4.0999999999999995E-2</v>
      </c>
      <c r="F11" s="135">
        <f>'Macroeconomic data'!J5</f>
        <v>3.3000000000000002E-2</v>
      </c>
      <c r="G11" s="135">
        <f>'Macroeconomic data'!K5</f>
        <v>4.4999999999999998E-2</v>
      </c>
      <c r="H11" s="135">
        <f>'Macroeconomic data'!L5</f>
        <v>6.9000000000000006E-2</v>
      </c>
      <c r="I11" s="135">
        <f>'Macroeconomic data'!M5</f>
        <v>0.06</v>
      </c>
      <c r="J11" s="135">
        <f>'Macroeconomic data'!N5</f>
        <v>0.05</v>
      </c>
      <c r="K11" s="135">
        <f>'Macroeconomic data'!O5</f>
        <v>4.4999999999999998E-2</v>
      </c>
      <c r="L11" s="135">
        <f>'Macroeconomic data'!P5</f>
        <v>4.4999999999999998E-2</v>
      </c>
      <c r="M11" s="135">
        <f>'Macroeconomic data'!Q5</f>
        <v>4.4999999999999998E-2</v>
      </c>
      <c r="N11" s="135">
        <f>'Macroeconomic data'!R5</f>
        <v>4.4999999999999998E-2</v>
      </c>
      <c r="O11" s="135">
        <f>'Macroeconomic data'!S5</f>
        <v>4.4999999999999998E-2</v>
      </c>
      <c r="P11" s="135">
        <f>'Macroeconomic data'!T5</f>
        <v>4.4999999999999998E-2</v>
      </c>
      <c r="Q11" s="135">
        <f>'Macroeconomic data'!U5</f>
        <v>4.4999999999999998E-2</v>
      </c>
      <c r="R11" s="135">
        <f>'Macroeconomic data'!V5</f>
        <v>4.4999999999999998E-2</v>
      </c>
      <c r="S11" s="135">
        <f>'Macroeconomic data'!W5</f>
        <v>4.4999999999999998E-2</v>
      </c>
      <c r="T11" s="135">
        <f>'Macroeconomic data'!X5</f>
        <v>4.4999999999999998E-2</v>
      </c>
      <c r="U11" s="135">
        <f>'Macroeconomic data'!Y5</f>
        <v>4.4999999999999998E-2</v>
      </c>
      <c r="V11" s="135">
        <f>'Macroeconomic data'!Z5</f>
        <v>4.4999999999999998E-2</v>
      </c>
      <c r="W11" s="135">
        <f>'Macroeconomic data'!AA5</f>
        <v>4.4999999999999998E-2</v>
      </c>
      <c r="X11" s="15" t="s">
        <v>161</v>
      </c>
    </row>
    <row r="12" spans="1:26" x14ac:dyDescent="0.35">
      <c r="A12" s="17" t="s">
        <v>348</v>
      </c>
      <c r="B12" s="17"/>
      <c r="C12" s="25"/>
      <c r="D12" s="193">
        <v>0.28000000000000003</v>
      </c>
      <c r="E12" s="193">
        <v>0.28000000000000003</v>
      </c>
      <c r="F12" s="193">
        <v>0.28000000000000003</v>
      </c>
      <c r="G12" s="193">
        <v>0.28000000000000003</v>
      </c>
      <c r="H12" s="193">
        <v>0.27</v>
      </c>
      <c r="I12" s="193">
        <v>0.27</v>
      </c>
      <c r="J12" s="193">
        <v>0.27</v>
      </c>
      <c r="K12" s="193">
        <v>0.27</v>
      </c>
      <c r="L12" s="193">
        <v>0.27</v>
      </c>
      <c r="M12" s="193">
        <v>0.27</v>
      </c>
      <c r="N12" s="193">
        <v>0.27</v>
      </c>
      <c r="O12" s="193">
        <v>0.27</v>
      </c>
      <c r="P12" s="193">
        <v>0.27</v>
      </c>
      <c r="Q12" s="193">
        <v>0.27</v>
      </c>
      <c r="R12" s="193">
        <v>0.27</v>
      </c>
      <c r="S12" s="193">
        <v>0.27</v>
      </c>
      <c r="T12" s="193">
        <v>0.27</v>
      </c>
      <c r="U12" s="193">
        <v>0.27</v>
      </c>
      <c r="V12" s="193">
        <v>0.27</v>
      </c>
      <c r="W12" s="193">
        <v>0.27</v>
      </c>
      <c r="X12" s="15"/>
      <c r="Y12" s="19" t="s">
        <v>350</v>
      </c>
      <c r="Z12" s="12" t="s">
        <v>351</v>
      </c>
    </row>
    <row r="13" spans="1:26" ht="58" x14ac:dyDescent="0.35">
      <c r="A13" s="17" t="s">
        <v>349</v>
      </c>
      <c r="B13" s="17"/>
      <c r="C13" s="25"/>
      <c r="D13" s="203">
        <v>8.8849999999999998E-2</v>
      </c>
      <c r="E13" s="203">
        <v>8.2549999999999998E-2</v>
      </c>
      <c r="F13" s="203">
        <v>8.7349999999999997E-2</v>
      </c>
      <c r="G13" s="203">
        <v>9.2499999999999999E-2</v>
      </c>
      <c r="H13" s="203">
        <v>0.10185</v>
      </c>
      <c r="I13" s="203">
        <v>0.1028</v>
      </c>
      <c r="J13" s="203">
        <v>0.1028</v>
      </c>
      <c r="K13" s="203">
        <v>0.1028</v>
      </c>
      <c r="L13" s="203">
        <v>0.1028</v>
      </c>
      <c r="M13" s="203">
        <v>0.1028</v>
      </c>
      <c r="N13" s="203">
        <v>0.1028</v>
      </c>
      <c r="O13" s="203">
        <v>0.1028</v>
      </c>
      <c r="P13" s="203">
        <v>0.1028</v>
      </c>
      <c r="Q13" s="203">
        <v>0.1028</v>
      </c>
      <c r="R13" s="203">
        <v>0.1028</v>
      </c>
      <c r="S13" s="203">
        <v>0.1028</v>
      </c>
      <c r="T13" s="203">
        <v>0.1028</v>
      </c>
      <c r="U13" s="203">
        <v>0.1028</v>
      </c>
      <c r="V13" s="203">
        <v>0.1028</v>
      </c>
      <c r="W13" s="203">
        <v>0.1028</v>
      </c>
      <c r="X13" s="15"/>
      <c r="Y13" s="217" t="s">
        <v>352</v>
      </c>
      <c r="Z13" s="39" t="s">
        <v>385</v>
      </c>
    </row>
    <row r="14" spans="1:26" x14ac:dyDescent="0.35">
      <c r="A14" s="17" t="s">
        <v>356</v>
      </c>
      <c r="B14" s="17"/>
      <c r="C14" s="25"/>
      <c r="D14" s="204">
        <v>1.525E-2</v>
      </c>
      <c r="E14" s="204">
        <v>2.0400000000000001E-2</v>
      </c>
      <c r="F14" s="204">
        <v>1.8450000000000001E-2</v>
      </c>
      <c r="G14" s="204">
        <v>1.9E-2</v>
      </c>
      <c r="H14" s="204">
        <v>1.3449999999999998E-2</v>
      </c>
      <c r="I14" s="204">
        <v>1.7500000000000002E-2</v>
      </c>
      <c r="J14" s="205">
        <v>1.7500000000000002E-2</v>
      </c>
      <c r="K14" s="205">
        <v>1.7500000000000002E-2</v>
      </c>
      <c r="L14" s="205">
        <v>1.7500000000000002E-2</v>
      </c>
      <c r="M14" s="205">
        <v>1.7500000000000002E-2</v>
      </c>
      <c r="N14" s="205">
        <v>1.7500000000000002E-2</v>
      </c>
      <c r="O14" s="205">
        <v>1.7500000000000002E-2</v>
      </c>
      <c r="P14" s="205">
        <v>1.7500000000000002E-2</v>
      </c>
      <c r="Q14" s="205">
        <v>1.7500000000000002E-2</v>
      </c>
      <c r="R14" s="205">
        <v>1.7500000000000002E-2</v>
      </c>
      <c r="S14" s="205">
        <v>1.7500000000000002E-2</v>
      </c>
      <c r="T14" s="205">
        <v>1.7500000000000002E-2</v>
      </c>
      <c r="U14" s="205">
        <v>1.7500000000000002E-2</v>
      </c>
      <c r="V14" s="205">
        <v>1.7500000000000002E-2</v>
      </c>
      <c r="W14" s="205">
        <v>1.7500000000000002E-2</v>
      </c>
      <c r="X14" s="15"/>
      <c r="Y14" s="12" t="s">
        <v>361</v>
      </c>
    </row>
    <row r="15" spans="1:26" x14ac:dyDescent="0.35">
      <c r="A15" s="17" t="s">
        <v>346</v>
      </c>
      <c r="B15" s="17"/>
      <c r="C15" s="25"/>
      <c r="D15" s="17">
        <v>1.19</v>
      </c>
      <c r="E15" s="17">
        <v>1.19</v>
      </c>
      <c r="F15" s="17">
        <v>1.19</v>
      </c>
      <c r="G15" s="17">
        <v>0.80500000000000005</v>
      </c>
      <c r="H15" s="17">
        <v>0.84499999999999997</v>
      </c>
      <c r="I15" s="17">
        <v>1.1299999999999999</v>
      </c>
      <c r="J15" s="17">
        <v>1.1299999999999999</v>
      </c>
      <c r="K15" s="17">
        <v>1.1299999999999999</v>
      </c>
      <c r="L15" s="17">
        <v>1.1299999999999999</v>
      </c>
      <c r="M15" s="17">
        <v>1.1299999999999999</v>
      </c>
      <c r="N15" s="17">
        <v>1.1299999999999999</v>
      </c>
      <c r="O15" s="17">
        <v>1.1299999999999999</v>
      </c>
      <c r="P15" s="17">
        <v>1.1299999999999999</v>
      </c>
      <c r="Q15" s="17">
        <v>1.1299999999999999</v>
      </c>
      <c r="R15" s="17">
        <v>1.1299999999999999</v>
      </c>
      <c r="S15" s="17">
        <v>1.1299999999999999</v>
      </c>
      <c r="T15" s="17">
        <v>1.1299999999999999</v>
      </c>
      <c r="U15" s="17">
        <v>1.1299999999999999</v>
      </c>
      <c r="V15" s="17">
        <v>1.1299999999999999</v>
      </c>
      <c r="W15" s="17">
        <v>1.1299999999999999</v>
      </c>
      <c r="X15" s="15"/>
      <c r="Y15" s="12" t="s">
        <v>361</v>
      </c>
    </row>
    <row r="16" spans="1:26" x14ac:dyDescent="0.35">
      <c r="A16" s="17" t="s">
        <v>357</v>
      </c>
      <c r="B16" s="17"/>
      <c r="C16" s="25"/>
      <c r="D16" s="3">
        <f t="shared" ref="D16:W16" si="15">D15*(1+(1-D12)*debt_perc/(1-debt_perc))</f>
        <v>1.5149931034482758</v>
      </c>
      <c r="E16" s="3">
        <f t="shared" si="15"/>
        <v>1.5149931034482758</v>
      </c>
      <c r="F16" s="3">
        <f t="shared" si="15"/>
        <v>1.5149931034482758</v>
      </c>
      <c r="G16" s="3">
        <f t="shared" si="15"/>
        <v>1.0248482758620689</v>
      </c>
      <c r="H16" s="3">
        <f t="shared" si="15"/>
        <v>1.0789775862068967</v>
      </c>
      <c r="I16" s="3">
        <f t="shared" si="15"/>
        <v>1.4428931034482757</v>
      </c>
      <c r="J16" s="3">
        <f t="shared" si="15"/>
        <v>1.4428931034482757</v>
      </c>
      <c r="K16" s="3">
        <f t="shared" si="15"/>
        <v>1.4428931034482757</v>
      </c>
      <c r="L16" s="3">
        <f t="shared" si="15"/>
        <v>1.4428931034482757</v>
      </c>
      <c r="M16" s="3">
        <f t="shared" si="15"/>
        <v>1.4428931034482757</v>
      </c>
      <c r="N16" s="3">
        <f t="shared" si="15"/>
        <v>1.4428931034482757</v>
      </c>
      <c r="O16" s="3">
        <f t="shared" si="15"/>
        <v>1.4428931034482757</v>
      </c>
      <c r="P16" s="3">
        <f t="shared" si="15"/>
        <v>1.4428931034482757</v>
      </c>
      <c r="Q16" s="3">
        <f t="shared" si="15"/>
        <v>1.4428931034482757</v>
      </c>
      <c r="R16" s="3">
        <f t="shared" si="15"/>
        <v>1.4428931034482757</v>
      </c>
      <c r="S16" s="3">
        <f t="shared" si="15"/>
        <v>1.4428931034482757</v>
      </c>
      <c r="T16" s="3">
        <f t="shared" si="15"/>
        <v>1.4428931034482757</v>
      </c>
      <c r="U16" s="3">
        <f t="shared" si="15"/>
        <v>1.4428931034482757</v>
      </c>
      <c r="V16" s="3">
        <f t="shared" si="15"/>
        <v>1.4428931034482757</v>
      </c>
      <c r="W16" s="3">
        <f t="shared" si="15"/>
        <v>1.4428931034482757</v>
      </c>
      <c r="X16" s="15"/>
    </row>
    <row r="17" spans="1:26" x14ac:dyDescent="0.35">
      <c r="A17" s="17" t="s">
        <v>358</v>
      </c>
      <c r="B17" s="17"/>
      <c r="C17" s="25"/>
      <c r="D17" s="204">
        <v>5.7499999999999996E-2</v>
      </c>
      <c r="E17" s="204">
        <v>5.7499999999999996E-2</v>
      </c>
      <c r="F17" s="204">
        <v>5.7499999999999996E-2</v>
      </c>
      <c r="G17" s="204">
        <v>4.9700000000000001E-2</v>
      </c>
      <c r="H17" s="204">
        <v>5.8200000000000002E-2</v>
      </c>
      <c r="I17" s="204">
        <v>5.3500000000000006E-2</v>
      </c>
      <c r="J17" s="204">
        <v>5.3500000000000006E-2</v>
      </c>
      <c r="K17" s="204">
        <v>5.3500000000000006E-2</v>
      </c>
      <c r="L17" s="204">
        <v>5.3500000000000006E-2</v>
      </c>
      <c r="M17" s="204">
        <v>5.3500000000000006E-2</v>
      </c>
      <c r="N17" s="204">
        <v>5.3500000000000006E-2</v>
      </c>
      <c r="O17" s="204">
        <v>5.3500000000000006E-2</v>
      </c>
      <c r="P17" s="204">
        <v>5.3500000000000006E-2</v>
      </c>
      <c r="Q17" s="204">
        <v>5.3500000000000006E-2</v>
      </c>
      <c r="R17" s="204">
        <v>5.3500000000000006E-2</v>
      </c>
      <c r="S17" s="204">
        <v>5.3500000000000006E-2</v>
      </c>
      <c r="T17" s="204">
        <v>5.3500000000000006E-2</v>
      </c>
      <c r="U17" s="204">
        <v>5.3500000000000006E-2</v>
      </c>
      <c r="V17" s="204">
        <v>5.3500000000000006E-2</v>
      </c>
      <c r="W17" s="204">
        <v>5.3500000000000006E-2</v>
      </c>
      <c r="X17" s="15"/>
      <c r="Y17" s="12" t="s">
        <v>361</v>
      </c>
    </row>
    <row r="18" spans="1:26" x14ac:dyDescent="0.35">
      <c r="A18" s="17" t="s">
        <v>359</v>
      </c>
      <c r="B18" s="17"/>
      <c r="C18" s="17"/>
      <c r="D18" s="187">
        <f t="shared" ref="D18:W18" si="16">D14+D13</f>
        <v>0.1041</v>
      </c>
      <c r="E18" s="187">
        <f t="shared" si="16"/>
        <v>0.10295</v>
      </c>
      <c r="F18" s="187">
        <f t="shared" si="16"/>
        <v>0.10580000000000001</v>
      </c>
      <c r="G18" s="187">
        <f t="shared" si="16"/>
        <v>0.1115</v>
      </c>
      <c r="H18" s="187">
        <f t="shared" si="16"/>
        <v>0.1153</v>
      </c>
      <c r="I18" s="187">
        <f t="shared" si="16"/>
        <v>0.1203</v>
      </c>
      <c r="J18" s="187">
        <f t="shared" si="16"/>
        <v>0.1203</v>
      </c>
      <c r="K18" s="187">
        <f t="shared" si="16"/>
        <v>0.1203</v>
      </c>
      <c r="L18" s="187">
        <f t="shared" si="16"/>
        <v>0.1203</v>
      </c>
      <c r="M18" s="187">
        <f t="shared" si="16"/>
        <v>0.1203</v>
      </c>
      <c r="N18" s="187">
        <f t="shared" si="16"/>
        <v>0.1203</v>
      </c>
      <c r="O18" s="187">
        <f t="shared" si="16"/>
        <v>0.1203</v>
      </c>
      <c r="P18" s="187">
        <f t="shared" si="16"/>
        <v>0.1203</v>
      </c>
      <c r="Q18" s="187">
        <f t="shared" si="16"/>
        <v>0.1203</v>
      </c>
      <c r="R18" s="187">
        <f t="shared" si="16"/>
        <v>0.1203</v>
      </c>
      <c r="S18" s="187">
        <f t="shared" si="16"/>
        <v>0.1203</v>
      </c>
      <c r="T18" s="187">
        <f t="shared" si="16"/>
        <v>0.1203</v>
      </c>
      <c r="U18" s="187">
        <f t="shared" si="16"/>
        <v>0.1203</v>
      </c>
      <c r="V18" s="187">
        <f t="shared" si="16"/>
        <v>0.1203</v>
      </c>
      <c r="W18" s="187">
        <f t="shared" si="16"/>
        <v>0.1203</v>
      </c>
    </row>
    <row r="19" spans="1:26" x14ac:dyDescent="0.35">
      <c r="A19" s="17" t="s">
        <v>360</v>
      </c>
      <c r="B19" s="17"/>
      <c r="C19" s="17"/>
      <c r="D19" s="187">
        <f t="shared" ref="D19:W19" si="17">D13+D16*D17</f>
        <v>0.17596210344827584</v>
      </c>
      <c r="E19" s="187">
        <f t="shared" si="17"/>
        <v>0.16966210344827584</v>
      </c>
      <c r="F19" s="187">
        <f t="shared" si="17"/>
        <v>0.17446210344827584</v>
      </c>
      <c r="G19" s="187">
        <f t="shared" si="17"/>
        <v>0.14343495931034483</v>
      </c>
      <c r="H19" s="187">
        <f t="shared" si="17"/>
        <v>0.16464649551724136</v>
      </c>
      <c r="I19" s="187">
        <f t="shared" si="17"/>
        <v>0.17999478103448274</v>
      </c>
      <c r="J19" s="187">
        <f t="shared" si="17"/>
        <v>0.17999478103448274</v>
      </c>
      <c r="K19" s="187">
        <f t="shared" si="17"/>
        <v>0.17999478103448274</v>
      </c>
      <c r="L19" s="187">
        <f t="shared" si="17"/>
        <v>0.17999478103448274</v>
      </c>
      <c r="M19" s="187">
        <f t="shared" si="17"/>
        <v>0.17999478103448274</v>
      </c>
      <c r="N19" s="187">
        <f t="shared" si="17"/>
        <v>0.17999478103448274</v>
      </c>
      <c r="O19" s="187">
        <f t="shared" si="17"/>
        <v>0.17999478103448274</v>
      </c>
      <c r="P19" s="187">
        <f t="shared" si="17"/>
        <v>0.17999478103448274</v>
      </c>
      <c r="Q19" s="187">
        <f t="shared" si="17"/>
        <v>0.17999478103448274</v>
      </c>
      <c r="R19" s="187">
        <f t="shared" si="17"/>
        <v>0.17999478103448274</v>
      </c>
      <c r="S19" s="187">
        <f t="shared" si="17"/>
        <v>0.17999478103448274</v>
      </c>
      <c r="T19" s="187">
        <f t="shared" si="17"/>
        <v>0.17999478103448274</v>
      </c>
      <c r="U19" s="187">
        <f t="shared" si="17"/>
        <v>0.17999478103448274</v>
      </c>
      <c r="V19" s="187">
        <f t="shared" si="17"/>
        <v>0.17999478103448274</v>
      </c>
      <c r="W19" s="187">
        <f t="shared" si="17"/>
        <v>0.17999478103448274</v>
      </c>
    </row>
    <row r="20" spans="1:26" x14ac:dyDescent="0.35">
      <c r="A20" s="17" t="s">
        <v>347</v>
      </c>
      <c r="B20" s="17"/>
      <c r="C20" s="17"/>
      <c r="D20" s="206">
        <f t="shared" ref="D20:W20" si="18">D18*debt_perc*(1-D12)+D19*(1-debt_perc)</f>
        <v>0.14818432500000001</v>
      </c>
      <c r="E20" s="206">
        <f t="shared" si="18"/>
        <v>0.14338912499999998</v>
      </c>
      <c r="F20" s="206">
        <f t="shared" si="18"/>
        <v>0.14743342499999998</v>
      </c>
      <c r="G20" s="206">
        <f t="shared" si="18"/>
        <v>0.12606734549999998</v>
      </c>
      <c r="H20" s="206">
        <f t="shared" si="18"/>
        <v>0.14251518424999998</v>
      </c>
      <c r="I20" s="206">
        <f t="shared" si="18"/>
        <v>0.15464644124999999</v>
      </c>
      <c r="J20" s="206">
        <f t="shared" si="18"/>
        <v>0.15464644124999999</v>
      </c>
      <c r="K20" s="206">
        <f t="shared" si="18"/>
        <v>0.15464644124999999</v>
      </c>
      <c r="L20" s="206">
        <f t="shared" si="18"/>
        <v>0.15464644124999999</v>
      </c>
      <c r="M20" s="206">
        <f t="shared" si="18"/>
        <v>0.15464644124999999</v>
      </c>
      <c r="N20" s="206">
        <f t="shared" si="18"/>
        <v>0.15464644124999999</v>
      </c>
      <c r="O20" s="206">
        <f t="shared" si="18"/>
        <v>0.15464644124999999</v>
      </c>
      <c r="P20" s="206">
        <f t="shared" si="18"/>
        <v>0.15464644124999999</v>
      </c>
      <c r="Q20" s="206">
        <f t="shared" si="18"/>
        <v>0.15464644124999999</v>
      </c>
      <c r="R20" s="206">
        <f t="shared" si="18"/>
        <v>0.15464644124999999</v>
      </c>
      <c r="S20" s="206">
        <f t="shared" si="18"/>
        <v>0.15464644124999999</v>
      </c>
      <c r="T20" s="206">
        <f t="shared" si="18"/>
        <v>0.15464644124999999</v>
      </c>
      <c r="U20" s="206">
        <f t="shared" si="18"/>
        <v>0.15464644124999999</v>
      </c>
      <c r="V20" s="206">
        <f t="shared" si="18"/>
        <v>0.15464644124999999</v>
      </c>
      <c r="W20" s="206">
        <f t="shared" si="18"/>
        <v>0.15464644124999999</v>
      </c>
    </row>
    <row r="21" spans="1:26" x14ac:dyDescent="0.35">
      <c r="A21" s="41" t="s">
        <v>162</v>
      </c>
      <c r="B21" s="17"/>
      <c r="C21" s="17"/>
      <c r="D21" s="194">
        <f t="shared" ref="D21:W21" si="19">(1+D22)/(1+D11)-1</f>
        <v>0.15168248567335252</v>
      </c>
      <c r="E21" s="194">
        <f t="shared" si="19"/>
        <v>0.15192273054755057</v>
      </c>
      <c r="F21" s="194">
        <f t="shared" si="19"/>
        <v>0.16628136092287837</v>
      </c>
      <c r="G21" s="194">
        <f t="shared" si="19"/>
        <v>0.12449142145135572</v>
      </c>
      <c r="H21" s="194">
        <f t="shared" si="19"/>
        <v>0.11807883984520173</v>
      </c>
      <c r="I21" s="194">
        <f t="shared" si="19"/>
        <v>0.14324947176272929</v>
      </c>
      <c r="J21" s="194">
        <f t="shared" si="19"/>
        <v>0.1541375619699934</v>
      </c>
      <c r="K21" s="194">
        <f t="shared" si="19"/>
        <v>0.15965975126171594</v>
      </c>
      <c r="L21" s="194">
        <f t="shared" si="19"/>
        <v>0.15965975126171594</v>
      </c>
      <c r="M21" s="194">
        <f t="shared" si="19"/>
        <v>0.15965975126171594</v>
      </c>
      <c r="N21" s="194">
        <f t="shared" si="19"/>
        <v>0.15965975126171594</v>
      </c>
      <c r="O21" s="194">
        <f t="shared" si="19"/>
        <v>0.15965975126171594</v>
      </c>
      <c r="P21" s="194">
        <f t="shared" si="19"/>
        <v>0.15965975126171594</v>
      </c>
      <c r="Q21" s="194">
        <f t="shared" si="19"/>
        <v>0.15965975126171594</v>
      </c>
      <c r="R21" s="194">
        <f t="shared" si="19"/>
        <v>0.15965975126171594</v>
      </c>
      <c r="S21" s="194">
        <f t="shared" si="19"/>
        <v>0.15965975126171594</v>
      </c>
      <c r="T21" s="194">
        <f t="shared" si="19"/>
        <v>0.15965975126171594</v>
      </c>
      <c r="U21" s="194">
        <f t="shared" si="19"/>
        <v>0.15965975126171594</v>
      </c>
      <c r="V21" s="194">
        <f t="shared" si="19"/>
        <v>0.15965975126171594</v>
      </c>
      <c r="W21" s="194">
        <f t="shared" si="19"/>
        <v>0.15965975126171594</v>
      </c>
      <c r="X21" s="15" t="s">
        <v>387</v>
      </c>
    </row>
    <row r="22" spans="1:26" x14ac:dyDescent="0.35">
      <c r="A22" s="17" t="s">
        <v>163</v>
      </c>
      <c r="B22" s="17"/>
      <c r="C22" s="17"/>
      <c r="D22" s="194">
        <f t="shared" ref="D22:W22" si="20">D20/(1-D12)</f>
        <v>0.20581156250000002</v>
      </c>
      <c r="E22" s="194">
        <f t="shared" si="20"/>
        <v>0.19915156249999999</v>
      </c>
      <c r="F22" s="194">
        <f t="shared" si="20"/>
        <v>0.20476864583333332</v>
      </c>
      <c r="G22" s="194">
        <f t="shared" si="20"/>
        <v>0.17509353541666664</v>
      </c>
      <c r="H22" s="194">
        <f t="shared" si="20"/>
        <v>0.19522627979452054</v>
      </c>
      <c r="I22" s="194">
        <f t="shared" si="20"/>
        <v>0.21184444006849315</v>
      </c>
      <c r="J22" s="194">
        <f t="shared" si="20"/>
        <v>0.21184444006849315</v>
      </c>
      <c r="K22" s="194">
        <f t="shared" si="20"/>
        <v>0.21184444006849315</v>
      </c>
      <c r="L22" s="194">
        <f t="shared" si="20"/>
        <v>0.21184444006849315</v>
      </c>
      <c r="M22" s="194">
        <f t="shared" si="20"/>
        <v>0.21184444006849315</v>
      </c>
      <c r="N22" s="194">
        <f t="shared" si="20"/>
        <v>0.21184444006849315</v>
      </c>
      <c r="O22" s="194">
        <f t="shared" si="20"/>
        <v>0.21184444006849315</v>
      </c>
      <c r="P22" s="194">
        <f t="shared" si="20"/>
        <v>0.21184444006849315</v>
      </c>
      <c r="Q22" s="194">
        <f t="shared" si="20"/>
        <v>0.21184444006849315</v>
      </c>
      <c r="R22" s="194">
        <f t="shared" si="20"/>
        <v>0.21184444006849315</v>
      </c>
      <c r="S22" s="194">
        <f t="shared" si="20"/>
        <v>0.21184444006849315</v>
      </c>
      <c r="T22" s="194">
        <f t="shared" si="20"/>
        <v>0.21184444006849315</v>
      </c>
      <c r="U22" s="194">
        <f t="shared" si="20"/>
        <v>0.21184444006849315</v>
      </c>
      <c r="V22" s="194">
        <f t="shared" si="20"/>
        <v>0.21184444006849315</v>
      </c>
      <c r="W22" s="194">
        <f t="shared" si="20"/>
        <v>0.21184444006849315</v>
      </c>
      <c r="X22" s="15" t="s">
        <v>386</v>
      </c>
    </row>
    <row r="23" spans="1:26" x14ac:dyDescent="0.35">
      <c r="A23" s="17" t="s">
        <v>164</v>
      </c>
      <c r="B23" s="17"/>
      <c r="C23" s="17"/>
      <c r="D23" s="3">
        <f>1+D22</f>
        <v>1.2058115625000001</v>
      </c>
      <c r="E23" s="3">
        <f t="shared" ref="E23:W23" si="21">D23*(1+E22)</f>
        <v>1.4459508192524415</v>
      </c>
      <c r="F23" s="3">
        <f t="shared" si="21"/>
        <v>1.7420362104523628</v>
      </c>
      <c r="G23" s="3">
        <f t="shared" si="21"/>
        <v>2.0470554893643196</v>
      </c>
      <c r="H23" s="3">
        <f t="shared" si="21"/>
        <v>2.4466945170858674</v>
      </c>
      <c r="I23" s="3">
        <f t="shared" si="21"/>
        <v>2.9650131470765753</v>
      </c>
      <c r="J23" s="3">
        <f t="shared" si="21"/>
        <v>3.5931346970147331</v>
      </c>
      <c r="K23" s="3">
        <f t="shared" si="21"/>
        <v>4.3543203049944941</v>
      </c>
      <c r="L23" s="3">
        <f t="shared" si="21"/>
        <v>5.2767588518849227</v>
      </c>
      <c r="M23" s="3">
        <f t="shared" si="21"/>
        <v>6.3946108762389491</v>
      </c>
      <c r="N23" s="3">
        <f t="shared" si="21"/>
        <v>7.7492736367716857</v>
      </c>
      <c r="O23" s="3">
        <f t="shared" si="21"/>
        <v>9.3909141712911186</v>
      </c>
      <c r="P23" s="3">
        <f t="shared" si="21"/>
        <v>11.380327125639562</v>
      </c>
      <c r="Q23" s="3">
        <f t="shared" si="21"/>
        <v>13.79118615336696</v>
      </c>
      <c r="R23" s="3">
        <f t="shared" si="21"/>
        <v>16.71277226190734</v>
      </c>
      <c r="S23" s="3">
        <f t="shared" si="21"/>
        <v>20.253280143723345</v>
      </c>
      <c r="T23" s="3">
        <f t="shared" si="21"/>
        <v>24.543824935320746</v>
      </c>
      <c r="U23" s="3">
        <f t="shared" si="21"/>
        <v>29.743297785882888</v>
      </c>
      <c r="V23" s="3">
        <f t="shared" si="21"/>
        <v>36.044250051123697</v>
      </c>
      <c r="W23" s="3">
        <f t="shared" si="21"/>
        <v>43.680024020892752</v>
      </c>
      <c r="X23" s="15" t="s">
        <v>165</v>
      </c>
      <c r="Z23" s="72"/>
    </row>
    <row r="24" spans="1:26" x14ac:dyDescent="0.35">
      <c r="F24" s="133"/>
      <c r="G24" s="133"/>
      <c r="H24" s="133"/>
      <c r="I24" s="133"/>
      <c r="J24" s="133"/>
      <c r="K24" s="133"/>
    </row>
  </sheetData>
  <hyperlinks>
    <hyperlink ref="Y13" location=":~:text=The%20South%20Africa%2010%20Years,%3A15%20GMT%2B0)." display="http://www.worldgovernmentbonds.com/bond-historical-data/south-africa/10-years/ - :~:text=The%20South%20Africa%2010%20Years,%3A15%20GMT%2B0)." xr:uid="{3C8170BD-62FA-4EF8-A2A9-414E3B577C82}"/>
    <hyperlink ref="Y12" display="https://orbitax.com/taxhub/corporatetaxrates/ZA/South-Africa" xr:uid="{DFB7BEC6-3E49-46C7-BB08-C7D2B637B68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C01A4-9C22-404D-8E84-8F0926AC5101}">
  <dimension ref="A1:AA65"/>
  <sheetViews>
    <sheetView workbookViewId="0">
      <selection activeCell="J23" sqref="J23"/>
    </sheetView>
  </sheetViews>
  <sheetFormatPr defaultColWidth="8.54296875" defaultRowHeight="14.5" x14ac:dyDescent="0.35"/>
  <cols>
    <col min="1" max="1" width="45.6328125" style="12" customWidth="1"/>
    <col min="2" max="2" width="25.6328125" style="12" customWidth="1"/>
    <col min="3" max="7" width="10.6328125" style="12" customWidth="1"/>
    <col min="8" max="27" width="15.6328125" style="12" customWidth="1"/>
    <col min="28" max="16384" width="8.54296875" style="12"/>
  </cols>
  <sheetData>
    <row r="1" spans="1:27" ht="18" x14ac:dyDescent="0.4">
      <c r="A1" s="88" t="s">
        <v>265</v>
      </c>
      <c r="B1" s="90"/>
      <c r="C1" s="90"/>
      <c r="D1" s="91"/>
      <c r="E1" s="91"/>
      <c r="F1" s="91"/>
      <c r="G1" s="91"/>
      <c r="H1" s="91"/>
      <c r="I1" s="91"/>
      <c r="J1" s="91"/>
      <c r="K1" s="91"/>
      <c r="L1" s="91"/>
      <c r="M1" s="91"/>
      <c r="N1" s="91"/>
      <c r="O1" s="91"/>
      <c r="P1" s="91"/>
      <c r="Q1" s="91"/>
      <c r="R1" s="91"/>
      <c r="S1" s="91"/>
      <c r="T1" s="91"/>
      <c r="U1" s="91"/>
      <c r="V1" s="91"/>
      <c r="W1" s="91"/>
      <c r="X1" s="91"/>
    </row>
    <row r="3" spans="1:27" x14ac:dyDescent="0.35">
      <c r="A3" s="48" t="s">
        <v>160</v>
      </c>
    </row>
    <row r="4" spans="1:27" x14ac:dyDescent="0.35">
      <c r="A4" s="29" t="s">
        <v>266</v>
      </c>
      <c r="B4" s="29" t="s">
        <v>267</v>
      </c>
      <c r="C4" s="47"/>
      <c r="D4" s="47"/>
      <c r="E4" s="47"/>
      <c r="F4" s="47"/>
      <c r="G4" s="47"/>
      <c r="H4" s="52">
        <v>2018</v>
      </c>
      <c r="I4" s="52">
        <v>2019</v>
      </c>
      <c r="J4" s="52">
        <v>2020</v>
      </c>
      <c r="K4" s="52">
        <v>2021</v>
      </c>
      <c r="L4" s="52">
        <v>2022</v>
      </c>
      <c r="M4" s="52">
        <v>2023</v>
      </c>
      <c r="N4" s="52">
        <v>2024</v>
      </c>
      <c r="O4" s="52">
        <v>2025</v>
      </c>
      <c r="P4" s="52">
        <v>2026</v>
      </c>
      <c r="Q4" s="52">
        <v>2027</v>
      </c>
      <c r="R4" s="52">
        <v>2028</v>
      </c>
      <c r="S4" s="52">
        <v>2029</v>
      </c>
      <c r="T4" s="52">
        <v>2030</v>
      </c>
      <c r="U4" s="52">
        <v>2031</v>
      </c>
      <c r="V4" s="52">
        <v>2032</v>
      </c>
      <c r="W4" s="52">
        <v>2033</v>
      </c>
      <c r="X4" s="52">
        <v>2034</v>
      </c>
      <c r="Y4" s="52">
        <v>2035</v>
      </c>
      <c r="Z4" s="52">
        <v>2036</v>
      </c>
      <c r="AA4" s="52">
        <v>2037</v>
      </c>
    </row>
    <row r="5" spans="1:27" x14ac:dyDescent="0.35">
      <c r="A5" s="43" t="s">
        <v>268</v>
      </c>
      <c r="B5" s="113" t="s">
        <v>269</v>
      </c>
      <c r="C5" s="190"/>
      <c r="D5" s="190"/>
      <c r="E5" s="190"/>
      <c r="F5" s="190"/>
      <c r="G5" s="190"/>
      <c r="H5" s="180">
        <f>4.7/100</f>
        <v>4.7E-2</v>
      </c>
      <c r="I5" s="180">
        <f>4.1/100</f>
        <v>4.0999999999999995E-2</v>
      </c>
      <c r="J5" s="180">
        <f>3.3/100</f>
        <v>3.3000000000000002E-2</v>
      </c>
      <c r="K5" s="180">
        <f>4.5/100</f>
        <v>4.4999999999999998E-2</v>
      </c>
      <c r="L5" s="180">
        <f>6.9/100</f>
        <v>6.9000000000000006E-2</v>
      </c>
      <c r="M5" s="180">
        <f>6/100</f>
        <v>0.06</v>
      </c>
      <c r="N5" s="180">
        <f>5/100</f>
        <v>0.05</v>
      </c>
      <c r="O5" s="180">
        <f t="shared" ref="O5:AA5" si="0">4.5/100</f>
        <v>4.4999999999999998E-2</v>
      </c>
      <c r="P5" s="180">
        <f t="shared" si="0"/>
        <v>4.4999999999999998E-2</v>
      </c>
      <c r="Q5" s="180">
        <f t="shared" si="0"/>
        <v>4.4999999999999998E-2</v>
      </c>
      <c r="R5" s="180">
        <f t="shared" si="0"/>
        <v>4.4999999999999998E-2</v>
      </c>
      <c r="S5" s="180">
        <f t="shared" si="0"/>
        <v>4.4999999999999998E-2</v>
      </c>
      <c r="T5" s="180">
        <f t="shared" si="0"/>
        <v>4.4999999999999998E-2</v>
      </c>
      <c r="U5" s="180">
        <f t="shared" si="0"/>
        <v>4.4999999999999998E-2</v>
      </c>
      <c r="V5" s="180">
        <f t="shared" si="0"/>
        <v>4.4999999999999998E-2</v>
      </c>
      <c r="W5" s="180">
        <f t="shared" si="0"/>
        <v>4.4999999999999998E-2</v>
      </c>
      <c r="X5" s="181">
        <f t="shared" si="0"/>
        <v>4.4999999999999998E-2</v>
      </c>
      <c r="Y5" s="181">
        <f t="shared" si="0"/>
        <v>4.4999999999999998E-2</v>
      </c>
      <c r="Z5" s="181">
        <f t="shared" si="0"/>
        <v>4.4999999999999998E-2</v>
      </c>
      <c r="AA5" s="181">
        <f t="shared" si="0"/>
        <v>4.4999999999999998E-2</v>
      </c>
    </row>
    <row r="6" spans="1:27" x14ac:dyDescent="0.35">
      <c r="A6" s="34" t="s">
        <v>270</v>
      </c>
      <c r="B6" s="35"/>
      <c r="C6" s="35"/>
      <c r="D6" s="35"/>
      <c r="E6" s="35"/>
      <c r="F6" s="35"/>
      <c r="G6" s="35"/>
      <c r="H6" s="35"/>
      <c r="I6" s="35"/>
      <c r="J6" s="35"/>
      <c r="K6" s="35"/>
      <c r="L6" s="35"/>
      <c r="M6" s="35"/>
      <c r="N6" s="35"/>
      <c r="O6" s="35"/>
      <c r="P6" s="35"/>
      <c r="Q6" s="35"/>
      <c r="R6" s="35"/>
      <c r="S6" s="35"/>
      <c r="T6" s="35"/>
      <c r="U6" s="35"/>
      <c r="V6" s="35"/>
      <c r="W6" s="36"/>
    </row>
    <row r="7" spans="1:27" x14ac:dyDescent="0.35">
      <c r="A7" s="37" t="s">
        <v>271</v>
      </c>
      <c r="B7" s="20" t="s">
        <v>272</v>
      </c>
      <c r="W7" s="38"/>
    </row>
    <row r="8" spans="1:27" x14ac:dyDescent="0.35">
      <c r="A8" s="37" t="s">
        <v>273</v>
      </c>
      <c r="B8" s="20" t="s">
        <v>354</v>
      </c>
      <c r="W8" s="38"/>
    </row>
    <row r="9" spans="1:27" x14ac:dyDescent="0.35">
      <c r="A9" s="42" t="s">
        <v>274</v>
      </c>
      <c r="B9" s="20" t="s">
        <v>354</v>
      </c>
      <c r="W9" s="38"/>
    </row>
    <row r="10" spans="1:27" x14ac:dyDescent="0.35">
      <c r="A10" s="44" t="s">
        <v>275</v>
      </c>
      <c r="B10" s="45"/>
      <c r="C10" s="45"/>
      <c r="D10" s="45"/>
      <c r="E10" s="45"/>
      <c r="F10" s="45"/>
      <c r="G10" s="45"/>
      <c r="H10" s="45"/>
      <c r="I10" s="45"/>
      <c r="J10" s="45"/>
      <c r="K10" s="45"/>
      <c r="L10" s="45"/>
      <c r="M10" s="45"/>
      <c r="N10" s="45"/>
      <c r="O10" s="45"/>
      <c r="P10" s="45"/>
      <c r="Q10" s="45"/>
      <c r="R10" s="45"/>
      <c r="S10" s="45"/>
      <c r="T10" s="45"/>
      <c r="U10" s="45"/>
      <c r="V10" s="45"/>
      <c r="W10" s="46"/>
    </row>
    <row r="13" spans="1:27" x14ac:dyDescent="0.35">
      <c r="A13" s="48" t="s">
        <v>276</v>
      </c>
    </row>
    <row r="14" spans="1:27" x14ac:dyDescent="0.35">
      <c r="A14" s="30" t="s">
        <v>277</v>
      </c>
      <c r="B14" s="144"/>
      <c r="C14" s="52"/>
      <c r="D14" s="52"/>
      <c r="E14" s="52"/>
      <c r="F14" s="52"/>
      <c r="G14" s="52"/>
      <c r="H14" s="52">
        <f t="shared" ref="H14:AA14" si="1">H4</f>
        <v>2018</v>
      </c>
      <c r="I14" s="52">
        <f t="shared" si="1"/>
        <v>2019</v>
      </c>
      <c r="J14" s="52">
        <f t="shared" si="1"/>
        <v>2020</v>
      </c>
      <c r="K14" s="52">
        <f t="shared" si="1"/>
        <v>2021</v>
      </c>
      <c r="L14" s="52">
        <f t="shared" si="1"/>
        <v>2022</v>
      </c>
      <c r="M14" s="52">
        <f t="shared" si="1"/>
        <v>2023</v>
      </c>
      <c r="N14" s="52">
        <f t="shared" si="1"/>
        <v>2024</v>
      </c>
      <c r="O14" s="52">
        <f t="shared" si="1"/>
        <v>2025</v>
      </c>
      <c r="P14" s="52">
        <f t="shared" si="1"/>
        <v>2026</v>
      </c>
      <c r="Q14" s="52">
        <f t="shared" si="1"/>
        <v>2027</v>
      </c>
      <c r="R14" s="52">
        <f t="shared" si="1"/>
        <v>2028</v>
      </c>
      <c r="S14" s="52">
        <f t="shared" si="1"/>
        <v>2029</v>
      </c>
      <c r="T14" s="52">
        <f t="shared" si="1"/>
        <v>2030</v>
      </c>
      <c r="U14" s="52">
        <f t="shared" si="1"/>
        <v>2031</v>
      </c>
      <c r="V14" s="52">
        <f t="shared" si="1"/>
        <v>2032</v>
      </c>
      <c r="W14" s="52">
        <f t="shared" si="1"/>
        <v>2033</v>
      </c>
      <c r="X14" s="52">
        <f t="shared" si="1"/>
        <v>2034</v>
      </c>
      <c r="Y14" s="52">
        <f t="shared" si="1"/>
        <v>2035</v>
      </c>
      <c r="Z14" s="52">
        <f t="shared" si="1"/>
        <v>2036</v>
      </c>
      <c r="AA14" s="52">
        <f t="shared" si="1"/>
        <v>2037</v>
      </c>
    </row>
    <row r="15" spans="1:27" x14ac:dyDescent="0.35">
      <c r="A15" s="103" t="s">
        <v>278</v>
      </c>
      <c r="B15" s="35" t="s">
        <v>279</v>
      </c>
      <c r="C15" s="40"/>
      <c r="D15" s="40"/>
      <c r="E15" s="40"/>
      <c r="F15" s="40"/>
      <c r="G15" s="40"/>
      <c r="H15" s="40"/>
      <c r="I15" s="40"/>
      <c r="J15" s="40"/>
      <c r="K15" s="40"/>
      <c r="L15" s="143">
        <f>6.58/100</f>
        <v>6.5799999999999997E-2</v>
      </c>
      <c r="M15" s="40"/>
      <c r="N15" s="40"/>
      <c r="O15" s="40"/>
      <c r="P15" s="40"/>
      <c r="Q15" s="40"/>
      <c r="R15" s="40"/>
      <c r="S15" s="40"/>
      <c r="T15" s="40"/>
      <c r="U15" s="40"/>
      <c r="V15" s="40"/>
      <c r="W15" s="40"/>
      <c r="X15" s="40"/>
      <c r="Y15" s="40"/>
      <c r="Z15" s="40"/>
      <c r="AA15" s="40"/>
    </row>
    <row r="16" spans="1:27" x14ac:dyDescent="0.35">
      <c r="A16" s="37" t="s">
        <v>280</v>
      </c>
      <c r="B16" s="12" t="s">
        <v>279</v>
      </c>
      <c r="C16" s="17"/>
      <c r="D16" s="17"/>
      <c r="E16" s="17"/>
      <c r="F16" s="17"/>
      <c r="G16" s="17"/>
      <c r="H16" s="17"/>
      <c r="I16" s="17"/>
      <c r="J16" s="17"/>
      <c r="K16" s="17"/>
      <c r="L16" s="25">
        <f>7.47/100</f>
        <v>7.4700000000000003E-2</v>
      </c>
      <c r="M16" s="17"/>
      <c r="N16" s="17"/>
      <c r="O16" s="17"/>
      <c r="P16" s="17"/>
      <c r="Q16" s="17"/>
      <c r="R16" s="17"/>
      <c r="S16" s="17"/>
      <c r="T16" s="17"/>
      <c r="U16" s="17"/>
      <c r="V16" s="17"/>
      <c r="W16" s="17"/>
      <c r="X16" s="17"/>
      <c r="Y16" s="17"/>
      <c r="Z16" s="17"/>
      <c r="AA16" s="17"/>
    </row>
    <row r="17" spans="1:27" x14ac:dyDescent="0.35">
      <c r="A17" s="37" t="s">
        <v>281</v>
      </c>
      <c r="B17" s="12" t="s">
        <v>282</v>
      </c>
      <c r="C17" s="17"/>
      <c r="D17" s="17"/>
      <c r="E17" s="17"/>
      <c r="F17" s="17"/>
      <c r="G17" s="17"/>
      <c r="H17" s="17"/>
      <c r="I17" s="17"/>
      <c r="J17" s="25"/>
      <c r="K17" s="17"/>
      <c r="L17" s="78">
        <f>8.62/100</f>
        <v>8.6199999999999999E-2</v>
      </c>
      <c r="M17" s="17"/>
      <c r="N17" s="17"/>
      <c r="O17" s="17"/>
      <c r="P17" s="17"/>
      <c r="Q17" s="17"/>
      <c r="R17" s="17"/>
      <c r="S17" s="17"/>
      <c r="T17" s="17"/>
      <c r="U17" s="17"/>
      <c r="V17" s="17"/>
      <c r="W17" s="17"/>
      <c r="X17" s="17"/>
      <c r="Y17" s="17"/>
      <c r="Z17" s="17"/>
      <c r="AA17" s="17"/>
    </row>
    <row r="18" spans="1:27" x14ac:dyDescent="0.35">
      <c r="A18" s="37" t="s">
        <v>283</v>
      </c>
      <c r="B18" s="12" t="s">
        <v>282</v>
      </c>
      <c r="C18" s="17"/>
      <c r="D18" s="17"/>
      <c r="E18" s="17"/>
      <c r="F18" s="17"/>
      <c r="G18" s="17"/>
      <c r="H18" s="17"/>
      <c r="I18" s="17"/>
      <c r="J18" s="17"/>
      <c r="K18" s="17"/>
      <c r="L18" s="25">
        <f>10.19/100</f>
        <v>0.10189999999999999</v>
      </c>
      <c r="M18" s="17"/>
      <c r="N18" s="17"/>
      <c r="O18" s="17"/>
      <c r="P18" s="17"/>
      <c r="Q18" s="17"/>
      <c r="R18" s="17"/>
      <c r="S18" s="17"/>
      <c r="T18" s="17"/>
      <c r="U18" s="17"/>
      <c r="V18" s="17"/>
      <c r="W18" s="17"/>
      <c r="X18" s="17"/>
      <c r="Y18" s="17"/>
      <c r="Z18" s="17"/>
      <c r="AA18" s="17"/>
    </row>
    <row r="19" spans="1:27" x14ac:dyDescent="0.35">
      <c r="A19" s="44" t="s">
        <v>284</v>
      </c>
      <c r="B19" s="45" t="s">
        <v>282</v>
      </c>
      <c r="C19" s="17"/>
      <c r="D19" s="17"/>
      <c r="E19" s="17"/>
      <c r="F19" s="17"/>
      <c r="G19" s="17"/>
      <c r="H19" s="17"/>
      <c r="I19" s="17"/>
      <c r="J19" s="17"/>
      <c r="K19" s="17"/>
      <c r="L19" s="25">
        <f>11.31/100</f>
        <v>0.11310000000000001</v>
      </c>
      <c r="M19" s="17"/>
      <c r="N19" s="17"/>
      <c r="O19" s="17"/>
      <c r="P19" s="17"/>
      <c r="Q19" s="17"/>
      <c r="R19" s="17"/>
      <c r="S19" s="17"/>
      <c r="T19" s="17"/>
      <c r="U19" s="17"/>
      <c r="V19" s="17"/>
      <c r="W19" s="17"/>
      <c r="X19" s="17"/>
      <c r="Y19" s="17"/>
      <c r="Z19" s="17"/>
      <c r="AA19" s="17"/>
    </row>
    <row r="20" spans="1:27" x14ac:dyDescent="0.35">
      <c r="H20" s="24"/>
    </row>
    <row r="21" spans="1:27" x14ac:dyDescent="0.35">
      <c r="A21" s="22" t="s">
        <v>46</v>
      </c>
      <c r="B21" s="35"/>
      <c r="C21" s="35"/>
      <c r="D21" s="36"/>
    </row>
    <row r="22" spans="1:27" ht="17.899999999999999" customHeight="1" x14ac:dyDescent="0.35">
      <c r="A22" s="109" t="s">
        <v>285</v>
      </c>
      <c r="B22" s="254" t="s">
        <v>286</v>
      </c>
      <c r="C22" s="240"/>
      <c r="D22" s="255"/>
    </row>
    <row r="23" spans="1:27" x14ac:dyDescent="0.35">
      <c r="A23" s="110" t="s">
        <v>287</v>
      </c>
      <c r="B23" s="254"/>
      <c r="C23" s="240"/>
      <c r="D23" s="255"/>
    </row>
    <row r="24" spans="1:27" x14ac:dyDescent="0.35">
      <c r="A24" s="40" t="s">
        <v>288</v>
      </c>
      <c r="B24" s="254"/>
      <c r="C24" s="240"/>
      <c r="D24" s="255"/>
    </row>
    <row r="25" spans="1:27" x14ac:dyDescent="0.35">
      <c r="A25" s="44"/>
      <c r="B25" s="45"/>
      <c r="C25" s="45"/>
      <c r="D25" s="46"/>
    </row>
    <row r="27" spans="1:27" x14ac:dyDescent="0.35">
      <c r="A27" s="30" t="s">
        <v>289</v>
      </c>
      <c r="B27" s="145"/>
      <c r="C27" s="52"/>
      <c r="D27" s="52"/>
      <c r="E27" s="52"/>
      <c r="F27" s="52"/>
      <c r="G27" s="52"/>
      <c r="H27" s="52">
        <f t="shared" ref="H27:AA27" si="2">H4</f>
        <v>2018</v>
      </c>
      <c r="I27" s="52">
        <f t="shared" si="2"/>
        <v>2019</v>
      </c>
      <c r="J27" s="52">
        <f t="shared" si="2"/>
        <v>2020</v>
      </c>
      <c r="K27" s="52">
        <f t="shared" si="2"/>
        <v>2021</v>
      </c>
      <c r="L27" s="52">
        <f t="shared" si="2"/>
        <v>2022</v>
      </c>
      <c r="M27" s="52">
        <f t="shared" si="2"/>
        <v>2023</v>
      </c>
      <c r="N27" s="52">
        <f t="shared" si="2"/>
        <v>2024</v>
      </c>
      <c r="O27" s="52">
        <f t="shared" si="2"/>
        <v>2025</v>
      </c>
      <c r="P27" s="52">
        <f t="shared" si="2"/>
        <v>2026</v>
      </c>
      <c r="Q27" s="52">
        <f t="shared" si="2"/>
        <v>2027</v>
      </c>
      <c r="R27" s="52">
        <f t="shared" si="2"/>
        <v>2028</v>
      </c>
      <c r="S27" s="52">
        <f t="shared" si="2"/>
        <v>2029</v>
      </c>
      <c r="T27" s="52">
        <f t="shared" si="2"/>
        <v>2030</v>
      </c>
      <c r="U27" s="52">
        <f t="shared" si="2"/>
        <v>2031</v>
      </c>
      <c r="V27" s="52">
        <f t="shared" si="2"/>
        <v>2032</v>
      </c>
      <c r="W27" s="52">
        <f t="shared" si="2"/>
        <v>2033</v>
      </c>
      <c r="X27" s="52">
        <f t="shared" si="2"/>
        <v>2034</v>
      </c>
      <c r="Y27" s="52">
        <f t="shared" si="2"/>
        <v>2035</v>
      </c>
      <c r="Z27" s="52">
        <f t="shared" si="2"/>
        <v>2036</v>
      </c>
      <c r="AA27" s="52">
        <f t="shared" si="2"/>
        <v>2037</v>
      </c>
    </row>
    <row r="28" spans="1:27" x14ac:dyDescent="0.35">
      <c r="A28" s="250" t="s">
        <v>290</v>
      </c>
      <c r="B28" s="184" t="str" cm="1">
        <f t="array" ref="B28:B30">currency_scenario</f>
        <v>Low scenario</v>
      </c>
      <c r="C28" s="112"/>
      <c r="D28" s="112"/>
      <c r="E28" s="112"/>
      <c r="F28" s="112"/>
      <c r="G28" s="112"/>
      <c r="H28" s="112">
        <v>13.246775199999993</v>
      </c>
      <c r="I28" s="112">
        <v>14.451177510040162</v>
      </c>
      <c r="J28" s="112">
        <v>16.441369841269843</v>
      </c>
      <c r="K28" s="112">
        <v>14.783901599999995</v>
      </c>
      <c r="L28" s="112">
        <v>16.381369199999995</v>
      </c>
      <c r="M28" s="3">
        <f t="shared" ref="M28:AA28" si="3">M29/1.15</f>
        <v>16.041304347826088</v>
      </c>
      <c r="N28" s="3">
        <f t="shared" si="3"/>
        <v>15.434782608695654</v>
      </c>
      <c r="O28" s="3">
        <f t="shared" si="3"/>
        <v>15.043478260869566</v>
      </c>
      <c r="P28" s="3">
        <f t="shared" si="3"/>
        <v>15.62825682233842</v>
      </c>
      <c r="Q28" s="3">
        <f t="shared" si="3"/>
        <v>16.23576722547471</v>
      </c>
      <c r="R28" s="3">
        <f t="shared" si="3"/>
        <v>16.86689311523336</v>
      </c>
      <c r="S28" s="3">
        <f t="shared" si="3"/>
        <v>17.522552486113785</v>
      </c>
      <c r="T28" s="3">
        <f t="shared" si="3"/>
        <v>18.203699017414703</v>
      </c>
      <c r="U28" s="3">
        <f t="shared" si="3"/>
        <v>18.55751123890424</v>
      </c>
      <c r="V28" s="3">
        <f t="shared" si="3"/>
        <v>18.91820025438799</v>
      </c>
      <c r="W28" s="3">
        <f t="shared" si="3"/>
        <v>19.285899723170985</v>
      </c>
      <c r="X28" s="3">
        <f t="shared" si="3"/>
        <v>19.660745902398176</v>
      </c>
      <c r="Y28" s="3">
        <f t="shared" si="3"/>
        <v>20.042877697546739</v>
      </c>
      <c r="Z28" s="3">
        <f t="shared" si="3"/>
        <v>20.042877697546739</v>
      </c>
      <c r="AA28" s="3">
        <f t="shared" si="3"/>
        <v>20.042877697546739</v>
      </c>
    </row>
    <row r="29" spans="1:27" x14ac:dyDescent="0.35">
      <c r="A29" s="250"/>
      <c r="B29" s="184" t="str">
        <v>Base scenario</v>
      </c>
      <c r="C29" s="112"/>
      <c r="D29" s="112"/>
      <c r="E29" s="112"/>
      <c r="F29" s="112"/>
      <c r="G29" s="112"/>
      <c r="H29" s="112">
        <v>13.246775199999993</v>
      </c>
      <c r="I29" s="112">
        <v>14.451177510040162</v>
      </c>
      <c r="J29" s="112">
        <v>16.441369841269843</v>
      </c>
      <c r="K29" s="112">
        <v>14.783901599999995</v>
      </c>
      <c r="L29" s="112">
        <v>16.381369199999995</v>
      </c>
      <c r="M29" s="3">
        <f>B55</f>
        <v>18.447499999999998</v>
      </c>
      <c r="N29" s="112">
        <f>F55</f>
        <v>17.75</v>
      </c>
      <c r="O29" s="112">
        <f>J55</f>
        <v>17.3</v>
      </c>
      <c r="P29" s="112">
        <f>O29*(1+$C$43)</f>
        <v>17.972495345689182</v>
      </c>
      <c r="Q29" s="112">
        <f>P29*(1+$C$43)</f>
        <v>18.671132309295913</v>
      </c>
      <c r="R29" s="112">
        <f>Q29*(1+$C$43)</f>
        <v>19.396927082518364</v>
      </c>
      <c r="S29" s="112">
        <f>R29*(1+$C$43)</f>
        <v>20.15093535903085</v>
      </c>
      <c r="T29" s="112">
        <f>S29*(1+$C$43)</f>
        <v>20.934253870026907</v>
      </c>
      <c r="U29" s="112">
        <f>T29*(1+$C$44)</f>
        <v>21.341137924739876</v>
      </c>
      <c r="V29" s="112">
        <f>U29*(1+$C$44)</f>
        <v>21.755930292546186</v>
      </c>
      <c r="W29" s="112">
        <f>V29*(1+$C$44)</f>
        <v>22.178784681646633</v>
      </c>
      <c r="X29" s="112">
        <f>W29*(1+$C$44)</f>
        <v>22.6098577877579</v>
      </c>
      <c r="Y29" s="112">
        <f>X29*(1+$C$44)</f>
        <v>23.049309352178749</v>
      </c>
      <c r="Z29" s="112">
        <f t="shared" ref="Z29:AA29" si="4">Y29</f>
        <v>23.049309352178749</v>
      </c>
      <c r="AA29" s="112">
        <f t="shared" si="4"/>
        <v>23.049309352178749</v>
      </c>
    </row>
    <row r="30" spans="1:27" x14ac:dyDescent="0.35">
      <c r="A30" s="250"/>
      <c r="B30" s="184" t="str">
        <v>High scenario</v>
      </c>
      <c r="C30" s="112"/>
      <c r="D30" s="112"/>
      <c r="E30" s="112"/>
      <c r="F30" s="112"/>
      <c r="G30" s="112"/>
      <c r="H30" s="112">
        <v>13.246775199999993</v>
      </c>
      <c r="I30" s="112">
        <v>14.451177510040162</v>
      </c>
      <c r="J30" s="112">
        <v>16.441369841269843</v>
      </c>
      <c r="K30" s="112">
        <v>14.783901599999995</v>
      </c>
      <c r="L30" s="112">
        <v>16.381369199999995</v>
      </c>
      <c r="M30" s="3">
        <f t="shared" ref="M30" si="5">M29*1.3</f>
        <v>23.981749999999998</v>
      </c>
      <c r="N30" s="3">
        <f t="shared" ref="N30" si="6">N29*1.3</f>
        <v>23.074999999999999</v>
      </c>
      <c r="O30" s="3">
        <f t="shared" ref="O30" si="7">O29*1.3</f>
        <v>22.490000000000002</v>
      </c>
      <c r="P30" s="3">
        <f t="shared" ref="P30" si="8">P29*1.3</f>
        <v>23.364243949395938</v>
      </c>
      <c r="Q30" s="3">
        <f t="shared" ref="Q30" si="9">Q29*1.3</f>
        <v>24.272472002084687</v>
      </c>
      <c r="R30" s="3">
        <f t="shared" ref="R30" si="10">R29*1.3</f>
        <v>25.216005207273874</v>
      </c>
      <c r="S30" s="3">
        <f t="shared" ref="S30" si="11">S29*1.3</f>
        <v>26.196215966740105</v>
      </c>
      <c r="T30" s="3">
        <f t="shared" ref="T30" si="12">T29*1.3</f>
        <v>27.214530031034979</v>
      </c>
      <c r="U30" s="3">
        <f t="shared" ref="U30" si="13">U29*1.3</f>
        <v>27.743479302161838</v>
      </c>
      <c r="V30" s="3">
        <f t="shared" ref="V30" si="14">V29*1.3</f>
        <v>28.282709380310042</v>
      </c>
      <c r="W30" s="3">
        <f t="shared" ref="W30" si="15">W29*1.3</f>
        <v>28.832420086140623</v>
      </c>
      <c r="X30" s="3">
        <f t="shared" ref="X30" si="16">X29*1.3</f>
        <v>29.392815124085271</v>
      </c>
      <c r="Y30" s="3">
        <f t="shared" ref="Y30" si="17">Y29*1.3</f>
        <v>29.964102157832375</v>
      </c>
      <c r="Z30" s="3">
        <f t="shared" ref="Z30" si="18">Z29*1.3</f>
        <v>29.964102157832375</v>
      </c>
      <c r="AA30" s="3">
        <f t="shared" ref="AA30" si="19">AA29*1.3</f>
        <v>29.964102157832375</v>
      </c>
    </row>
    <row r="31" spans="1:27" x14ac:dyDescent="0.35">
      <c r="A31" s="202"/>
      <c r="B31" s="82"/>
      <c r="C31" s="77"/>
      <c r="D31" s="77"/>
      <c r="E31" s="77"/>
      <c r="F31" s="77"/>
      <c r="G31" s="77"/>
      <c r="H31" s="77"/>
      <c r="I31" s="77"/>
      <c r="J31" s="77"/>
      <c r="K31" s="77"/>
      <c r="L31" s="77"/>
      <c r="M31" s="77"/>
      <c r="N31" s="77"/>
      <c r="O31" s="77"/>
      <c r="P31" s="77"/>
      <c r="Q31" s="77"/>
      <c r="R31" s="77"/>
      <c r="S31" s="77"/>
      <c r="T31" s="77"/>
      <c r="U31" s="77"/>
      <c r="V31" s="77"/>
      <c r="W31" s="77"/>
      <c r="X31" s="77"/>
      <c r="Y31" s="77"/>
      <c r="Z31" s="77"/>
      <c r="AA31" s="77"/>
    </row>
    <row r="32" spans="1:27" x14ac:dyDescent="0.35">
      <c r="A32" s="196"/>
      <c r="B32" s="186"/>
      <c r="C32" s="52"/>
      <c r="D32" s="52"/>
      <c r="E32" s="52"/>
      <c r="F32" s="52"/>
      <c r="G32" s="52"/>
      <c r="H32" s="52">
        <f t="shared" ref="H32:AA32" si="20">H27</f>
        <v>2018</v>
      </c>
      <c r="I32" s="52">
        <f t="shared" si="20"/>
        <v>2019</v>
      </c>
      <c r="J32" s="52">
        <f t="shared" si="20"/>
        <v>2020</v>
      </c>
      <c r="K32" s="52">
        <f t="shared" si="20"/>
        <v>2021</v>
      </c>
      <c r="L32" s="52">
        <f t="shared" si="20"/>
        <v>2022</v>
      </c>
      <c r="M32" s="52">
        <f t="shared" si="20"/>
        <v>2023</v>
      </c>
      <c r="N32" s="52">
        <f t="shared" si="20"/>
        <v>2024</v>
      </c>
      <c r="O32" s="52">
        <f t="shared" si="20"/>
        <v>2025</v>
      </c>
      <c r="P32" s="52">
        <f t="shared" si="20"/>
        <v>2026</v>
      </c>
      <c r="Q32" s="52">
        <f t="shared" si="20"/>
        <v>2027</v>
      </c>
      <c r="R32" s="52">
        <f t="shared" si="20"/>
        <v>2028</v>
      </c>
      <c r="S32" s="52">
        <f t="shared" si="20"/>
        <v>2029</v>
      </c>
      <c r="T32" s="52">
        <f t="shared" si="20"/>
        <v>2030</v>
      </c>
      <c r="U32" s="52">
        <f t="shared" si="20"/>
        <v>2031</v>
      </c>
      <c r="V32" s="52">
        <f t="shared" si="20"/>
        <v>2032</v>
      </c>
      <c r="W32" s="52">
        <f t="shared" si="20"/>
        <v>2033</v>
      </c>
      <c r="X32" s="52">
        <f t="shared" si="20"/>
        <v>2034</v>
      </c>
      <c r="Y32" s="52">
        <f t="shared" si="20"/>
        <v>2035</v>
      </c>
      <c r="Z32" s="52">
        <f t="shared" si="20"/>
        <v>2036</v>
      </c>
      <c r="AA32" s="52">
        <f t="shared" si="20"/>
        <v>2037</v>
      </c>
    </row>
    <row r="33" spans="1:27" x14ac:dyDescent="0.35">
      <c r="A33" s="251" t="s">
        <v>291</v>
      </c>
      <c r="B33" s="184" t="str" cm="1">
        <f t="array" ref="B33:B35">currency_scenario</f>
        <v>Low scenario</v>
      </c>
      <c r="C33" s="112"/>
      <c r="D33" s="112"/>
      <c r="E33" s="112"/>
      <c r="F33" s="112"/>
      <c r="G33" s="112"/>
      <c r="H33" s="112">
        <v>17.641773199999999</v>
      </c>
      <c r="I33" s="112">
        <v>18.430149397590366</v>
      </c>
      <c r="J33" s="112">
        <v>21.072238492063484</v>
      </c>
      <c r="K33" s="112">
        <v>20.328223200000007</v>
      </c>
      <c r="L33" s="112">
        <v>20.179558399999998</v>
      </c>
      <c r="M33" s="3">
        <f t="shared" ref="M33:AA33" si="21">M34/1.15</f>
        <v>19.934782608695656</v>
      </c>
      <c r="N33" s="3">
        <f t="shared" si="21"/>
        <v>19.332608695652176</v>
      </c>
      <c r="O33" s="3">
        <f t="shared" si="21"/>
        <v>19.406521739130437</v>
      </c>
      <c r="P33" s="3">
        <f t="shared" si="21"/>
        <v>20.069376948616384</v>
      </c>
      <c r="Q33" s="3">
        <f t="shared" si="21"/>
        <v>20.754872847384473</v>
      </c>
      <c r="R33" s="3">
        <f t="shared" si="21"/>
        <v>21.463782757879528</v>
      </c>
      <c r="S33" s="3">
        <f t="shared" si="21"/>
        <v>22.196906416389012</v>
      </c>
      <c r="T33" s="3">
        <f t="shared" si="21"/>
        <v>22.955070875242466</v>
      </c>
      <c r="U33" s="3">
        <f t="shared" si="21"/>
        <v>23.34710115553461</v>
      </c>
      <c r="V33" s="3">
        <f t="shared" si="21"/>
        <v>23.745826590091408</v>
      </c>
      <c r="W33" s="3">
        <f t="shared" si="21"/>
        <v>24.151361519801522</v>
      </c>
      <c r="X33" s="3">
        <f t="shared" si="21"/>
        <v>24.56382223828513</v>
      </c>
      <c r="Y33" s="3">
        <f t="shared" si="21"/>
        <v>24.983327025242996</v>
      </c>
      <c r="Z33" s="3">
        <f t="shared" si="21"/>
        <v>24.983327025242996</v>
      </c>
      <c r="AA33" s="3">
        <f t="shared" si="21"/>
        <v>24.983327025242996</v>
      </c>
    </row>
    <row r="34" spans="1:27" x14ac:dyDescent="0.35">
      <c r="A34" s="252"/>
      <c r="B34" s="184" t="str">
        <v>Base scenario</v>
      </c>
      <c r="C34" s="112"/>
      <c r="D34" s="112"/>
      <c r="E34" s="112"/>
      <c r="F34" s="112"/>
      <c r="G34" s="112"/>
      <c r="H34" s="112">
        <v>17.641773199999999</v>
      </c>
      <c r="I34" s="112">
        <v>18.430149397590366</v>
      </c>
      <c r="J34" s="112">
        <v>21.072238492063484</v>
      </c>
      <c r="K34" s="112">
        <v>20.328223200000007</v>
      </c>
      <c r="L34" s="112">
        <v>20.179558399999998</v>
      </c>
      <c r="M34" s="112">
        <f>B57</f>
        <v>22.925000000000001</v>
      </c>
      <c r="N34" s="112">
        <f>F57</f>
        <v>22.232500000000002</v>
      </c>
      <c r="O34" s="112">
        <f>J57</f>
        <v>22.317499999999999</v>
      </c>
      <c r="P34" s="112">
        <f>O34*(1+$C$45)</f>
        <v>23.079783490908842</v>
      </c>
      <c r="Q34" s="112">
        <f>P34*(1+$C$45)</f>
        <v>23.868103774492141</v>
      </c>
      <c r="R34" s="112">
        <f>Q34*(1+$C$45)</f>
        <v>24.683350171561454</v>
      </c>
      <c r="S34" s="112">
        <f>R34*(1+$C$45)</f>
        <v>25.526442378847364</v>
      </c>
      <c r="T34" s="112">
        <f>S34*(1+$C$45)</f>
        <v>26.398331506528834</v>
      </c>
      <c r="U34" s="112">
        <f>T34*(1+$C$46)</f>
        <v>26.849166328864797</v>
      </c>
      <c r="V34" s="112">
        <f>U34*(1+$C$46)</f>
        <v>27.307700578605118</v>
      </c>
      <c r="W34" s="112">
        <f>V34*(1+$C$46)</f>
        <v>27.774065747771751</v>
      </c>
      <c r="X34" s="112">
        <f>W34*(1+$C$46)</f>
        <v>28.248395574027899</v>
      </c>
      <c r="Y34" s="112">
        <f>X34*(1+$C$46)</f>
        <v>28.730826079029445</v>
      </c>
      <c r="Z34" s="112">
        <f t="shared" ref="Z34:AA34" si="22">Y34</f>
        <v>28.730826079029445</v>
      </c>
      <c r="AA34" s="112">
        <f t="shared" si="22"/>
        <v>28.730826079029445</v>
      </c>
    </row>
    <row r="35" spans="1:27" x14ac:dyDescent="0.35">
      <c r="A35" s="253"/>
      <c r="B35" s="184" t="str">
        <v>High scenario</v>
      </c>
      <c r="C35" s="112"/>
      <c r="D35" s="112"/>
      <c r="E35" s="112"/>
      <c r="F35" s="112"/>
      <c r="G35" s="112"/>
      <c r="H35" s="112">
        <v>17.641773199999999</v>
      </c>
      <c r="I35" s="112">
        <v>18.430149397590366</v>
      </c>
      <c r="J35" s="112">
        <v>21.072238492063484</v>
      </c>
      <c r="K35" s="112">
        <v>20.328223200000007</v>
      </c>
      <c r="L35" s="112">
        <v>20.179558399999998</v>
      </c>
      <c r="M35" s="3">
        <f t="shared" ref="M35" si="23">M34*1.3</f>
        <v>29.802500000000002</v>
      </c>
      <c r="N35" s="3">
        <f t="shared" ref="N35" si="24">N34*1.3</f>
        <v>28.902250000000002</v>
      </c>
      <c r="O35" s="3">
        <f t="shared" ref="O35" si="25">O34*1.3</f>
        <v>29.01275</v>
      </c>
      <c r="P35" s="3">
        <f t="shared" ref="P35" si="26">P34*1.3</f>
        <v>30.003718538181495</v>
      </c>
      <c r="Q35" s="3">
        <f t="shared" ref="Q35" si="27">Q34*1.3</f>
        <v>31.028534906839784</v>
      </c>
      <c r="R35" s="3">
        <f t="shared" ref="R35" si="28">R34*1.3</f>
        <v>32.088355223029893</v>
      </c>
      <c r="S35" s="3">
        <f t="shared" ref="S35" si="29">S34*1.3</f>
        <v>33.184375092501575</v>
      </c>
      <c r="T35" s="3">
        <f t="shared" ref="T35" si="30">T34*1.3</f>
        <v>34.317830958487484</v>
      </c>
      <c r="U35" s="3">
        <f t="shared" ref="U35" si="31">U34*1.3</f>
        <v>34.903916227524235</v>
      </c>
      <c r="V35" s="3">
        <f t="shared" ref="V35" si="32">V34*1.3</f>
        <v>35.500010752186654</v>
      </c>
      <c r="W35" s="3">
        <f t="shared" ref="W35" si="33">W34*1.3</f>
        <v>36.106285472103274</v>
      </c>
      <c r="X35" s="3">
        <f t="shared" ref="X35" si="34">X34*1.3</f>
        <v>36.722914246236272</v>
      </c>
      <c r="Y35" s="3">
        <f t="shared" ref="Y35" si="35">Y34*1.3</f>
        <v>37.350073902738281</v>
      </c>
      <c r="Z35" s="3">
        <f t="shared" ref="Z35" si="36">Z34*1.3</f>
        <v>37.350073902738281</v>
      </c>
      <c r="AA35" s="3">
        <f t="shared" ref="AA35" si="37">AA34*1.3</f>
        <v>37.350073902738281</v>
      </c>
    </row>
    <row r="36" spans="1:27" x14ac:dyDescent="0.35">
      <c r="A36" s="201"/>
      <c r="B36" s="184"/>
      <c r="C36" s="112"/>
      <c r="D36" s="112"/>
      <c r="E36" s="112"/>
      <c r="F36" s="112"/>
      <c r="G36" s="112"/>
      <c r="H36" s="112"/>
      <c r="I36" s="112"/>
      <c r="J36" s="112"/>
      <c r="K36" s="112"/>
      <c r="L36" s="112"/>
      <c r="M36" s="3"/>
      <c r="N36" s="3"/>
      <c r="O36" s="3"/>
      <c r="P36" s="3"/>
      <c r="Q36" s="3"/>
      <c r="R36" s="3"/>
      <c r="S36" s="3"/>
      <c r="T36" s="3"/>
      <c r="U36" s="3"/>
      <c r="V36" s="3"/>
      <c r="W36" s="3"/>
      <c r="X36" s="3"/>
      <c r="Y36" s="3"/>
      <c r="Z36" s="3"/>
      <c r="AA36" s="3"/>
    </row>
    <row r="37" spans="1:27" x14ac:dyDescent="0.35">
      <c r="A37" s="201"/>
      <c r="B37" s="184"/>
      <c r="C37" s="112"/>
      <c r="D37" s="112"/>
      <c r="E37" s="112"/>
      <c r="F37" s="112"/>
      <c r="G37" s="112"/>
      <c r="H37" s="112"/>
      <c r="I37" s="112"/>
      <c r="J37" s="112"/>
      <c r="K37" s="112"/>
      <c r="L37" s="112"/>
      <c r="M37" s="3"/>
      <c r="N37" s="3"/>
      <c r="O37" s="3"/>
      <c r="P37" s="3"/>
      <c r="Q37" s="3"/>
      <c r="R37" s="3"/>
      <c r="S37" s="3"/>
      <c r="T37" s="3"/>
      <c r="U37" s="3"/>
      <c r="V37" s="3"/>
      <c r="W37" s="3"/>
      <c r="X37" s="3"/>
      <c r="Y37" s="3"/>
      <c r="Z37" s="3"/>
      <c r="AA37" s="3"/>
    </row>
    <row r="38" spans="1:27" x14ac:dyDescent="0.35">
      <c r="A38" s="185"/>
      <c r="B38" s="186"/>
      <c r="C38" s="52"/>
      <c r="D38" s="52"/>
      <c r="E38" s="52"/>
      <c r="F38" s="52"/>
      <c r="G38" s="52"/>
      <c r="H38" s="52">
        <f t="shared" ref="H38:AA38" si="38">H27</f>
        <v>2018</v>
      </c>
      <c r="I38" s="52">
        <f t="shared" si="38"/>
        <v>2019</v>
      </c>
      <c r="J38" s="52">
        <f t="shared" si="38"/>
        <v>2020</v>
      </c>
      <c r="K38" s="52">
        <f t="shared" si="38"/>
        <v>2021</v>
      </c>
      <c r="L38" s="52">
        <f t="shared" si="38"/>
        <v>2022</v>
      </c>
      <c r="M38" s="52">
        <f t="shared" si="38"/>
        <v>2023</v>
      </c>
      <c r="N38" s="52">
        <f t="shared" si="38"/>
        <v>2024</v>
      </c>
      <c r="O38" s="52">
        <f t="shared" si="38"/>
        <v>2025</v>
      </c>
      <c r="P38" s="52">
        <f t="shared" si="38"/>
        <v>2026</v>
      </c>
      <c r="Q38" s="52">
        <f t="shared" si="38"/>
        <v>2027</v>
      </c>
      <c r="R38" s="52">
        <f t="shared" si="38"/>
        <v>2028</v>
      </c>
      <c r="S38" s="52">
        <f t="shared" si="38"/>
        <v>2029</v>
      </c>
      <c r="T38" s="52">
        <f t="shared" si="38"/>
        <v>2030</v>
      </c>
      <c r="U38" s="52">
        <f t="shared" si="38"/>
        <v>2031</v>
      </c>
      <c r="V38" s="52">
        <f t="shared" si="38"/>
        <v>2032</v>
      </c>
      <c r="W38" s="52">
        <f t="shared" si="38"/>
        <v>2033</v>
      </c>
      <c r="X38" s="52">
        <f t="shared" si="38"/>
        <v>2034</v>
      </c>
      <c r="Y38" s="52">
        <f t="shared" si="38"/>
        <v>2035</v>
      </c>
      <c r="Z38" s="52">
        <f t="shared" si="38"/>
        <v>2036</v>
      </c>
      <c r="AA38" s="52">
        <f t="shared" si="38"/>
        <v>2037</v>
      </c>
    </row>
    <row r="39" spans="1:27" x14ac:dyDescent="0.35">
      <c r="A39" s="251" t="s">
        <v>292</v>
      </c>
      <c r="B39" s="184" t="str" cm="1">
        <f t="array" ref="B39:B41">currency_scenario</f>
        <v>Low scenario</v>
      </c>
      <c r="C39" s="112"/>
      <c r="D39" s="112"/>
      <c r="E39" s="112"/>
      <c r="F39" s="112"/>
      <c r="G39" s="112"/>
      <c r="H39" s="112">
        <v>15.610738</v>
      </c>
      <c r="I39" s="112">
        <v>16.17564016064258</v>
      </c>
      <c r="J39" s="112">
        <v>18.757049999999992</v>
      </c>
      <c r="K39" s="112">
        <v>17.480877599999989</v>
      </c>
      <c r="L39" s="112">
        <v>17.2063676</v>
      </c>
      <c r="M39" s="3">
        <f t="shared" ref="M39:AA39" si="39">M40/1.15</f>
        <v>17.32826086956522</v>
      </c>
      <c r="N39" s="3">
        <f t="shared" si="39"/>
        <v>16.843478260869567</v>
      </c>
      <c r="O39" s="3">
        <f t="shared" si="39"/>
        <v>17.376086956521743</v>
      </c>
      <c r="P39" s="3">
        <f t="shared" si="39"/>
        <v>17.999897686873773</v>
      </c>
      <c r="Q39" s="3">
        <f t="shared" si="39"/>
        <v>18.646103553039527</v>
      </c>
      <c r="R39" s="3">
        <f t="shared" si="39"/>
        <v>19.315508552263218</v>
      </c>
      <c r="S39" s="3">
        <f t="shared" si="39"/>
        <v>20.008945545716209</v>
      </c>
      <c r="T39" s="3">
        <f t="shared" si="39"/>
        <v>20.727277294727312</v>
      </c>
      <c r="U39" s="3">
        <f t="shared" si="39"/>
        <v>21.099337414470781</v>
      </c>
      <c r="V39" s="3">
        <f t="shared" si="39"/>
        <v>21.478076111951943</v>
      </c>
      <c r="W39" s="3">
        <f t="shared" si="39"/>
        <v>21.863613269410873</v>
      </c>
      <c r="X39" s="3">
        <f t="shared" si="39"/>
        <v>22.256070921005627</v>
      </c>
      <c r="Y39" s="3">
        <f t="shared" si="39"/>
        <v>22.65557329143973</v>
      </c>
      <c r="Z39" s="3">
        <f t="shared" si="39"/>
        <v>22.65557329143973</v>
      </c>
      <c r="AA39" s="3">
        <f t="shared" si="39"/>
        <v>22.65557329143973</v>
      </c>
    </row>
    <row r="40" spans="1:27" x14ac:dyDescent="0.35">
      <c r="A40" s="252"/>
      <c r="B40" s="184" t="str">
        <v>Base scenario</v>
      </c>
      <c r="C40" s="112"/>
      <c r="D40" s="112"/>
      <c r="E40" s="112"/>
      <c r="F40" s="112"/>
      <c r="G40" s="112"/>
      <c r="H40" s="112">
        <v>15.610738</v>
      </c>
      <c r="I40" s="112">
        <v>16.17564016064258</v>
      </c>
      <c r="J40" s="112">
        <v>18.757049999999992</v>
      </c>
      <c r="K40" s="112">
        <v>17.480877599999989</v>
      </c>
      <c r="L40" s="112">
        <v>17.2063676</v>
      </c>
      <c r="M40" s="112">
        <f>B59</f>
        <v>19.927500000000002</v>
      </c>
      <c r="N40" s="112">
        <f>F59</f>
        <v>19.37</v>
      </c>
      <c r="O40" s="112">
        <f>J59</f>
        <v>19.982500000000002</v>
      </c>
      <c r="P40" s="112">
        <f>O40*(1+$C$47)</f>
        <v>20.699882339904839</v>
      </c>
      <c r="Q40" s="112">
        <f>P40*(1+$C$47)</f>
        <v>21.443019085995456</v>
      </c>
      <c r="R40" s="112">
        <f>Q40*(1+$C$47)</f>
        <v>22.212834835102697</v>
      </c>
      <c r="S40" s="112">
        <f>R40*(1+$C$47)</f>
        <v>23.01028737757364</v>
      </c>
      <c r="T40" s="112">
        <f>S40*(1+$C$47)</f>
        <v>23.836368888936406</v>
      </c>
      <c r="U40" s="112">
        <f>T40*(1+$C$48)</f>
        <v>24.264238026641397</v>
      </c>
      <c r="V40" s="112">
        <f>U40*(1+$C$48)</f>
        <v>24.699787528744732</v>
      </c>
      <c r="W40" s="112">
        <f>V40*(1+$C$48)</f>
        <v>25.143155259822503</v>
      </c>
      <c r="X40" s="112">
        <f>W40*(1+$C$48)</f>
        <v>25.59448155915647</v>
      </c>
      <c r="Y40" s="112">
        <f>X40*(1+$C$48)</f>
        <v>26.053909285155687</v>
      </c>
      <c r="Z40" s="112">
        <f t="shared" ref="Z40:AA40" si="40">Y40</f>
        <v>26.053909285155687</v>
      </c>
      <c r="AA40" s="112">
        <f t="shared" si="40"/>
        <v>26.053909285155687</v>
      </c>
    </row>
    <row r="41" spans="1:27" x14ac:dyDescent="0.35">
      <c r="A41" s="253"/>
      <c r="B41" s="184" t="str">
        <v>High scenario</v>
      </c>
      <c r="C41" s="112"/>
      <c r="D41" s="112"/>
      <c r="E41" s="112"/>
      <c r="F41" s="112"/>
      <c r="G41" s="112"/>
      <c r="H41" s="112">
        <v>15.610738</v>
      </c>
      <c r="I41" s="112">
        <v>16.17564016064258</v>
      </c>
      <c r="J41" s="112">
        <v>18.757049999999992</v>
      </c>
      <c r="K41" s="112">
        <v>17.480877599999989</v>
      </c>
      <c r="L41" s="112">
        <v>17.2063676</v>
      </c>
      <c r="M41" s="3">
        <f t="shared" ref="M41" si="41">M40*1.3</f>
        <v>25.905750000000005</v>
      </c>
      <c r="N41" s="3">
        <f t="shared" ref="N41" si="42">N40*1.3</f>
        <v>25.181000000000001</v>
      </c>
      <c r="O41" s="3">
        <f t="shared" ref="O41" si="43">O40*1.3</f>
        <v>25.977250000000002</v>
      </c>
      <c r="P41" s="3">
        <f t="shared" ref="P41" si="44">P40*1.3</f>
        <v>26.90984704187629</v>
      </c>
      <c r="Q41" s="3">
        <f t="shared" ref="Q41" si="45">Q40*1.3</f>
        <v>27.875924811794093</v>
      </c>
      <c r="R41" s="3">
        <f t="shared" ref="R41" si="46">R40*1.3</f>
        <v>28.876685285633506</v>
      </c>
      <c r="S41" s="3">
        <f t="shared" ref="S41" si="47">S40*1.3</f>
        <v>29.913373590845733</v>
      </c>
      <c r="T41" s="3">
        <f t="shared" ref="T41" si="48">T40*1.3</f>
        <v>30.987279555617327</v>
      </c>
      <c r="U41" s="3">
        <f t="shared" ref="U41" si="49">U40*1.3</f>
        <v>31.543509434633819</v>
      </c>
      <c r="V41" s="3">
        <f t="shared" ref="V41" si="50">V40*1.3</f>
        <v>32.109723787368154</v>
      </c>
      <c r="W41" s="3">
        <f t="shared" ref="W41" si="51">W40*1.3</f>
        <v>32.686101837769257</v>
      </c>
      <c r="X41" s="3">
        <f t="shared" ref="X41" si="52">X40*1.3</f>
        <v>33.27282602690341</v>
      </c>
      <c r="Y41" s="3">
        <f t="shared" ref="Y41" si="53">Y40*1.3</f>
        <v>33.870082070702395</v>
      </c>
      <c r="Z41" s="3">
        <f t="shared" ref="Z41" si="54">Z40*1.3</f>
        <v>33.870082070702395</v>
      </c>
      <c r="AA41" s="3">
        <f t="shared" ref="AA41" si="55">AA40*1.3</f>
        <v>33.870082070702395</v>
      </c>
    </row>
    <row r="42" spans="1:27" x14ac:dyDescent="0.35">
      <c r="A42" s="37"/>
      <c r="B42" s="82"/>
      <c r="C42" s="77"/>
      <c r="D42" s="77"/>
      <c r="E42" s="77"/>
      <c r="F42" s="77"/>
      <c r="G42" s="77"/>
      <c r="H42" s="77"/>
      <c r="I42" s="77"/>
      <c r="J42" s="77"/>
      <c r="K42" s="77"/>
      <c r="L42" s="77"/>
      <c r="M42" s="77"/>
      <c r="N42" s="77"/>
      <c r="O42" s="77"/>
      <c r="P42" s="77"/>
      <c r="Q42" s="77"/>
      <c r="R42" s="77"/>
      <c r="S42" s="77"/>
      <c r="T42" s="77"/>
      <c r="U42" s="77"/>
      <c r="V42" s="77"/>
      <c r="W42" s="77"/>
      <c r="X42" s="77"/>
      <c r="Y42" s="77"/>
      <c r="Z42" s="77"/>
      <c r="AA42" s="77"/>
    </row>
    <row r="43" spans="1:27" x14ac:dyDescent="0.35">
      <c r="A43" s="259" t="s">
        <v>293</v>
      </c>
      <c r="B43" s="104" t="s">
        <v>294</v>
      </c>
      <c r="C43" s="107">
        <f>((O29/H29)^(1/7)-1)</f>
        <v>3.8872563334634735E-2</v>
      </c>
      <c r="D43" s="77"/>
      <c r="E43" s="77"/>
      <c r="F43" s="77"/>
      <c r="G43" s="77"/>
      <c r="H43" s="77"/>
      <c r="I43" s="77"/>
      <c r="J43" s="77"/>
      <c r="K43" s="77"/>
      <c r="L43" s="77"/>
      <c r="M43" s="77"/>
      <c r="N43" s="77"/>
      <c r="O43" s="77"/>
      <c r="P43" s="77"/>
      <c r="Q43" s="77"/>
      <c r="R43" s="18"/>
    </row>
    <row r="44" spans="1:27" x14ac:dyDescent="0.35">
      <c r="A44" s="260"/>
      <c r="B44" s="105" t="s">
        <v>295</v>
      </c>
      <c r="C44" s="108">
        <f>C43/2</f>
        <v>1.9436281667317368E-2</v>
      </c>
      <c r="D44" s="77"/>
      <c r="E44" s="77"/>
      <c r="F44" s="77"/>
      <c r="G44" s="77"/>
      <c r="H44" s="77"/>
      <c r="I44" s="77"/>
      <c r="J44" s="77"/>
      <c r="K44" s="77"/>
      <c r="L44" s="77"/>
      <c r="M44" s="77"/>
      <c r="N44" s="77"/>
      <c r="O44" s="77"/>
      <c r="P44" s="77"/>
      <c r="Q44" s="77"/>
      <c r="R44" s="18"/>
    </row>
    <row r="45" spans="1:27" x14ac:dyDescent="0.35">
      <c r="A45" s="259" t="s">
        <v>296</v>
      </c>
      <c r="B45" s="104" t="s">
        <v>294</v>
      </c>
      <c r="C45" s="107">
        <f>((O34/H34)^(1/7)-1)</f>
        <v>3.4156311903611236E-2</v>
      </c>
      <c r="D45" s="77"/>
      <c r="E45" s="77"/>
      <c r="F45" s="77"/>
      <c r="G45" s="77"/>
      <c r="H45" s="77"/>
      <c r="I45" s="77"/>
      <c r="J45" s="77"/>
      <c r="K45" s="77"/>
      <c r="L45" s="77"/>
      <c r="M45" s="77"/>
      <c r="N45" s="77"/>
      <c r="O45" s="77"/>
      <c r="P45" s="77"/>
      <c r="Q45" s="77"/>
      <c r="R45" s="18"/>
    </row>
    <row r="46" spans="1:27" x14ac:dyDescent="0.35">
      <c r="A46" s="261"/>
      <c r="B46" s="82" t="s">
        <v>295</v>
      </c>
      <c r="C46" s="106">
        <f>C45/2</f>
        <v>1.7078155951805618E-2</v>
      </c>
      <c r="D46" s="77"/>
      <c r="E46" s="77"/>
      <c r="F46" s="77"/>
      <c r="G46" s="77"/>
      <c r="H46" s="77"/>
      <c r="I46" s="77"/>
      <c r="J46" s="77"/>
      <c r="K46" s="77"/>
      <c r="L46" s="77"/>
      <c r="M46" s="77"/>
      <c r="N46" s="77"/>
      <c r="O46" s="77"/>
      <c r="P46" s="77"/>
      <c r="Q46" s="77"/>
      <c r="R46" s="18"/>
    </row>
    <row r="47" spans="1:27" x14ac:dyDescent="0.35">
      <c r="A47" s="259" t="s">
        <v>297</v>
      </c>
      <c r="B47" s="104" t="s">
        <v>294</v>
      </c>
      <c r="C47" s="107">
        <f>((O40/H40)^(1/7)-1)</f>
        <v>3.5900529958955874E-2</v>
      </c>
      <c r="D47" s="77"/>
      <c r="E47" s="77"/>
      <c r="F47" s="77"/>
      <c r="G47" s="77"/>
      <c r="H47" s="77"/>
      <c r="I47" s="77"/>
      <c r="J47" s="77"/>
      <c r="K47" s="77"/>
      <c r="L47" s="77"/>
      <c r="M47" s="77"/>
      <c r="N47" s="77"/>
      <c r="O47" s="77"/>
      <c r="P47" s="77"/>
      <c r="Q47" s="77"/>
      <c r="R47" s="18"/>
    </row>
    <row r="48" spans="1:27" x14ac:dyDescent="0.35">
      <c r="A48" s="260"/>
      <c r="B48" s="105" t="s">
        <v>295</v>
      </c>
      <c r="C48" s="108">
        <f>C47/2</f>
        <v>1.7950264979477937E-2</v>
      </c>
      <c r="D48" s="77"/>
      <c r="E48" s="77"/>
      <c r="F48" s="77"/>
      <c r="G48" s="77"/>
      <c r="H48" s="77"/>
      <c r="I48" s="77"/>
      <c r="J48" s="77"/>
      <c r="K48" s="77"/>
      <c r="L48" s="77"/>
      <c r="M48" s="77"/>
      <c r="N48" s="77"/>
      <c r="O48" s="77"/>
      <c r="P48" s="77"/>
      <c r="Q48" s="77"/>
      <c r="R48" s="18"/>
    </row>
    <row r="49" spans="1:18" x14ac:dyDescent="0.35">
      <c r="A49" s="12" t="s">
        <v>298</v>
      </c>
      <c r="B49" s="82"/>
      <c r="C49" s="77"/>
      <c r="D49" s="77"/>
      <c r="E49" s="77"/>
      <c r="F49" s="77"/>
      <c r="G49" s="77"/>
      <c r="H49" s="77"/>
      <c r="I49" s="77"/>
      <c r="J49" s="77"/>
      <c r="K49" s="77"/>
      <c r="L49" s="77"/>
      <c r="M49" s="77"/>
      <c r="N49" s="77"/>
      <c r="O49" s="77"/>
      <c r="P49" s="77"/>
      <c r="Q49" s="77"/>
      <c r="R49" s="18"/>
    </row>
    <row r="50" spans="1:18" x14ac:dyDescent="0.35">
      <c r="B50" s="82"/>
      <c r="C50" s="77"/>
      <c r="D50" s="77"/>
      <c r="E50" s="77"/>
      <c r="F50" s="77"/>
      <c r="G50" s="77"/>
      <c r="H50" s="77"/>
      <c r="I50" s="77"/>
      <c r="J50" s="77"/>
      <c r="K50" s="77"/>
      <c r="L50" s="77"/>
      <c r="M50" s="77"/>
      <c r="N50" s="77"/>
      <c r="O50" s="77"/>
      <c r="P50" s="77"/>
      <c r="Q50" s="77"/>
      <c r="R50" s="18"/>
    </row>
    <row r="52" spans="1:18" x14ac:dyDescent="0.35">
      <c r="A52" s="111" t="s">
        <v>299</v>
      </c>
      <c r="B52" s="256">
        <v>2023</v>
      </c>
      <c r="C52" s="257"/>
      <c r="D52" s="257"/>
      <c r="E52" s="258"/>
      <c r="F52" s="243">
        <v>2024</v>
      </c>
      <c r="G52" s="244"/>
      <c r="H52" s="244"/>
      <c r="I52" s="245"/>
      <c r="J52" s="247">
        <v>2025</v>
      </c>
      <c r="K52" s="248"/>
      <c r="L52" s="248"/>
      <c r="M52" s="249"/>
    </row>
    <row r="53" spans="1:18" x14ac:dyDescent="0.35">
      <c r="A53" s="37"/>
      <c r="B53" s="17" t="s">
        <v>300</v>
      </c>
      <c r="C53" s="17" t="s">
        <v>301</v>
      </c>
      <c r="D53" s="17" t="s">
        <v>302</v>
      </c>
      <c r="E53" s="17" t="s">
        <v>303</v>
      </c>
      <c r="F53" s="17" t="s">
        <v>300</v>
      </c>
      <c r="G53" s="17" t="s">
        <v>301</v>
      </c>
      <c r="H53" s="17" t="s">
        <v>302</v>
      </c>
      <c r="I53" s="17" t="s">
        <v>303</v>
      </c>
      <c r="J53" s="17" t="s">
        <v>300</v>
      </c>
      <c r="K53" s="17" t="s">
        <v>301</v>
      </c>
      <c r="L53" s="17" t="s">
        <v>302</v>
      </c>
      <c r="M53" s="17" t="s">
        <v>303</v>
      </c>
    </row>
    <row r="54" spans="1:18" ht="20.9" customHeight="1" x14ac:dyDescent="0.35">
      <c r="A54" s="33" t="s">
        <v>304</v>
      </c>
      <c r="B54" s="17">
        <v>17.760000000000002</v>
      </c>
      <c r="C54" s="17">
        <v>18.68</v>
      </c>
      <c r="D54" s="17">
        <v>18.649999999999999</v>
      </c>
      <c r="E54" s="17">
        <v>18.7</v>
      </c>
      <c r="F54" s="17">
        <v>17.8</v>
      </c>
      <c r="G54" s="17">
        <v>17.7</v>
      </c>
      <c r="H54" s="17">
        <v>17.899999999999999</v>
      </c>
      <c r="I54" s="17">
        <v>17.600000000000001</v>
      </c>
      <c r="J54" s="17">
        <v>17.3</v>
      </c>
      <c r="K54" s="17">
        <v>17.3</v>
      </c>
      <c r="L54" s="17">
        <v>17.399999999999999</v>
      </c>
      <c r="M54" s="17">
        <v>17.2</v>
      </c>
    </row>
    <row r="55" spans="1:18" x14ac:dyDescent="0.35">
      <c r="A55" s="44" t="s">
        <v>305</v>
      </c>
      <c r="B55" s="241">
        <f>AVERAGE(B54:E54)</f>
        <v>18.447499999999998</v>
      </c>
      <c r="C55" s="241"/>
      <c r="D55" s="241"/>
      <c r="E55" s="241"/>
      <c r="F55" s="242">
        <f>AVERAGE(F54:I54)</f>
        <v>17.75</v>
      </c>
      <c r="G55" s="242"/>
      <c r="H55" s="242"/>
      <c r="I55" s="242"/>
      <c r="J55" s="246">
        <f>AVERAGE(J54:M54)</f>
        <v>17.3</v>
      </c>
      <c r="K55" s="246"/>
      <c r="L55" s="246"/>
      <c r="M55" s="246"/>
    </row>
    <row r="56" spans="1:18" x14ac:dyDescent="0.35">
      <c r="A56" s="33" t="s">
        <v>306</v>
      </c>
      <c r="B56" s="17">
        <v>21.59</v>
      </c>
      <c r="C56" s="17">
        <v>23.4</v>
      </c>
      <c r="D56" s="17">
        <v>23.62</v>
      </c>
      <c r="E56" s="17">
        <v>23.09</v>
      </c>
      <c r="F56" s="17">
        <v>22.16</v>
      </c>
      <c r="G56" s="17">
        <v>22.13</v>
      </c>
      <c r="H56" s="17">
        <v>22.46</v>
      </c>
      <c r="I56" s="17">
        <v>22.18</v>
      </c>
      <c r="J56" s="17">
        <v>21.97</v>
      </c>
      <c r="K56" s="17">
        <v>22.32</v>
      </c>
      <c r="L56" s="17">
        <v>22.62</v>
      </c>
      <c r="M56" s="17">
        <v>22.36</v>
      </c>
    </row>
    <row r="57" spans="1:18" x14ac:dyDescent="0.35">
      <c r="A57" s="44" t="s">
        <v>305</v>
      </c>
      <c r="B57" s="241">
        <f>AVERAGE(B56:E56)</f>
        <v>22.925000000000001</v>
      </c>
      <c r="C57" s="241"/>
      <c r="D57" s="241"/>
      <c r="E57" s="241"/>
      <c r="F57" s="242">
        <f>AVERAGE(F56:I56)</f>
        <v>22.232500000000002</v>
      </c>
      <c r="G57" s="242"/>
      <c r="H57" s="242"/>
      <c r="I57" s="242"/>
      <c r="J57" s="246">
        <f>AVERAGE(J56:M56)</f>
        <v>22.317499999999999</v>
      </c>
      <c r="K57" s="246"/>
      <c r="L57" s="246"/>
      <c r="M57" s="246"/>
    </row>
    <row r="58" spans="1:18" x14ac:dyDescent="0.35">
      <c r="A58" s="33" t="s">
        <v>307</v>
      </c>
      <c r="B58" s="17">
        <v>19.059999999999999</v>
      </c>
      <c r="C58" s="17">
        <v>20.34</v>
      </c>
      <c r="D58" s="17">
        <v>20.3</v>
      </c>
      <c r="E58" s="17">
        <v>20.010000000000002</v>
      </c>
      <c r="F58" s="17">
        <v>19.14</v>
      </c>
      <c r="G58" s="17">
        <v>19.2</v>
      </c>
      <c r="H58" s="17">
        <v>19.600000000000001</v>
      </c>
      <c r="I58" s="17">
        <v>19.54</v>
      </c>
      <c r="J58" s="17">
        <v>19.55</v>
      </c>
      <c r="K58" s="17">
        <v>19.899999999999999</v>
      </c>
      <c r="L58" s="17">
        <v>20.36</v>
      </c>
      <c r="M58" s="17">
        <v>20.12</v>
      </c>
    </row>
    <row r="59" spans="1:18" x14ac:dyDescent="0.35">
      <c r="A59" s="44" t="s">
        <v>305</v>
      </c>
      <c r="B59" s="241">
        <f>AVERAGE(B58:E58)</f>
        <v>19.927500000000002</v>
      </c>
      <c r="C59" s="241"/>
      <c r="D59" s="241"/>
      <c r="E59" s="241"/>
      <c r="F59" s="242">
        <f t="shared" ref="F59" si="56">AVERAGE(F58:I58)</f>
        <v>19.37</v>
      </c>
      <c r="G59" s="242"/>
      <c r="H59" s="242"/>
      <c r="I59" s="242"/>
      <c r="J59" s="246">
        <f t="shared" ref="J59" si="57">AVERAGE(J58:M58)</f>
        <v>19.982500000000002</v>
      </c>
      <c r="K59" s="246"/>
      <c r="L59" s="246"/>
      <c r="M59" s="246"/>
    </row>
    <row r="61" spans="1:18" x14ac:dyDescent="0.35">
      <c r="A61" s="21" t="s">
        <v>46</v>
      </c>
    </row>
    <row r="62" spans="1:18" ht="29" x14ac:dyDescent="0.35">
      <c r="A62" s="95" t="s">
        <v>308</v>
      </c>
      <c r="B62" s="96" t="s">
        <v>309</v>
      </c>
      <c r="C62" s="97"/>
      <c r="D62" s="97"/>
      <c r="E62" s="97"/>
      <c r="F62" s="97"/>
      <c r="G62" s="97"/>
      <c r="H62" s="97"/>
      <c r="I62" s="97"/>
      <c r="J62" s="98"/>
    </row>
    <row r="63" spans="1:18" ht="48.65" customHeight="1" x14ac:dyDescent="0.35">
      <c r="A63" s="99" t="s">
        <v>310</v>
      </c>
      <c r="B63" s="240" t="s">
        <v>355</v>
      </c>
      <c r="C63" s="240"/>
      <c r="D63" s="240"/>
      <c r="E63" s="240"/>
      <c r="F63" s="240"/>
      <c r="G63" s="240"/>
      <c r="H63" s="100"/>
      <c r="I63" s="101"/>
      <c r="J63" s="102"/>
    </row>
    <row r="64" spans="1:18" x14ac:dyDescent="0.35">
      <c r="A64" s="37" t="s">
        <v>311</v>
      </c>
      <c r="J64" s="38"/>
    </row>
    <row r="65" spans="1:10" x14ac:dyDescent="0.35">
      <c r="A65" s="44" t="s">
        <v>312</v>
      </c>
      <c r="B65" s="45"/>
      <c r="C65" s="45"/>
      <c r="D65" s="45"/>
      <c r="E65" s="45"/>
      <c r="F65" s="45"/>
      <c r="G65" s="45"/>
      <c r="H65" s="45"/>
      <c r="I65" s="45"/>
      <c r="J65" s="46"/>
    </row>
  </sheetData>
  <mergeCells count="20">
    <mergeCell ref="A28:A30"/>
    <mergeCell ref="A33:A35"/>
    <mergeCell ref="A39:A41"/>
    <mergeCell ref="B22:D24"/>
    <mergeCell ref="B52:E52"/>
    <mergeCell ref="A43:A44"/>
    <mergeCell ref="A45:A46"/>
    <mergeCell ref="A47:A48"/>
    <mergeCell ref="B63:G63"/>
    <mergeCell ref="B57:E57"/>
    <mergeCell ref="F57:I57"/>
    <mergeCell ref="F52:I52"/>
    <mergeCell ref="J57:M57"/>
    <mergeCell ref="B59:E59"/>
    <mergeCell ref="F59:I59"/>
    <mergeCell ref="J59:M59"/>
    <mergeCell ref="J52:M52"/>
    <mergeCell ref="B55:E55"/>
    <mergeCell ref="F55:I55"/>
    <mergeCell ref="J55:M55"/>
  </mergeCells>
  <phoneticPr fontId="1" type="noConversion"/>
  <hyperlinks>
    <hyperlink ref="B22" xr:uid="{F1066932-BEAB-4D5A-8E46-47658568D309}"/>
    <hyperlink ref="B7" xr:uid="{BDA54D83-3F62-4454-92A2-D05E016EA9AB}"/>
    <hyperlink ref="B62" xr:uid="{663B6C7A-33EF-46B9-BE67-4F9548BC4743}"/>
    <hyperlink ref="B63" xr:uid="{2E21C99D-674A-435D-9942-1D787121004E}"/>
    <hyperlink ref="B8" xr:uid="{7B76D7C6-9D7D-4DCB-BDEA-AC3A9A675864}"/>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35DC-F826-4A85-A335-D8C0CA32E1D2}">
  <dimension ref="A1:AK14"/>
  <sheetViews>
    <sheetView workbookViewId="0">
      <selection activeCell="A12" sqref="A12:A14"/>
    </sheetView>
  </sheetViews>
  <sheetFormatPr defaultColWidth="8.54296875" defaultRowHeight="14.5" x14ac:dyDescent="0.35"/>
  <cols>
    <col min="1" max="1" width="60.6328125" style="12" customWidth="1"/>
    <col min="2" max="16384" width="8.54296875" style="12"/>
  </cols>
  <sheetData>
    <row r="1" spans="1:37" ht="18.5" x14ac:dyDescent="0.45">
      <c r="A1" s="50" t="s">
        <v>313</v>
      </c>
      <c r="B1" s="49"/>
      <c r="C1" s="49"/>
    </row>
    <row r="3" spans="1:37" x14ac:dyDescent="0.35">
      <c r="A3" s="94" t="s">
        <v>314</v>
      </c>
    </row>
    <row r="4" spans="1:37" x14ac:dyDescent="0.35">
      <c r="A4" s="17" t="s">
        <v>315</v>
      </c>
    </row>
    <row r="5" spans="1:37" x14ac:dyDescent="0.35">
      <c r="A5" s="17" t="s">
        <v>13</v>
      </c>
    </row>
    <row r="6" spans="1:37" x14ac:dyDescent="0.35">
      <c r="A6" s="17" t="s">
        <v>316</v>
      </c>
    </row>
    <row r="8" spans="1:37" x14ac:dyDescent="0.35">
      <c r="A8" s="94" t="s">
        <v>317</v>
      </c>
      <c r="B8" s="47" cm="1">
        <f t="array" ref="B8:U8">years</f>
        <v>2018</v>
      </c>
      <c r="C8" s="47">
        <v>2019</v>
      </c>
      <c r="D8" s="47">
        <v>2020</v>
      </c>
      <c r="E8" s="47">
        <v>2021</v>
      </c>
      <c r="F8" s="47">
        <v>2022</v>
      </c>
      <c r="G8" s="47">
        <v>2023</v>
      </c>
      <c r="H8" s="47">
        <v>2024</v>
      </c>
      <c r="I8" s="47">
        <v>2025</v>
      </c>
      <c r="J8" s="47">
        <v>2026</v>
      </c>
      <c r="K8" s="47">
        <v>2027</v>
      </c>
      <c r="L8" s="47">
        <v>2028</v>
      </c>
      <c r="M8" s="47">
        <v>2029</v>
      </c>
      <c r="N8" s="47">
        <v>2030</v>
      </c>
      <c r="O8" s="47">
        <v>2031</v>
      </c>
      <c r="P8" s="47">
        <v>2032</v>
      </c>
      <c r="Q8" s="47">
        <v>2033</v>
      </c>
      <c r="R8" s="47">
        <v>2034</v>
      </c>
      <c r="S8" s="47">
        <v>2035</v>
      </c>
      <c r="T8" s="47">
        <v>2036</v>
      </c>
      <c r="U8" s="47">
        <v>2037</v>
      </c>
      <c r="V8" s="21"/>
      <c r="W8" s="21"/>
      <c r="X8" s="21"/>
      <c r="Y8" s="21"/>
      <c r="Z8" s="21"/>
      <c r="AA8" s="21"/>
      <c r="AB8" s="21"/>
      <c r="AC8" s="21"/>
      <c r="AD8" s="21"/>
      <c r="AE8" s="21"/>
      <c r="AF8" s="21"/>
      <c r="AG8" s="21"/>
      <c r="AH8" s="21"/>
      <c r="AI8" s="21"/>
      <c r="AJ8" s="21"/>
      <c r="AK8" s="21"/>
    </row>
    <row r="11" spans="1:37" x14ac:dyDescent="0.35">
      <c r="A11" s="182" t="s">
        <v>322</v>
      </c>
    </row>
    <row r="12" spans="1:37" x14ac:dyDescent="0.35">
      <c r="A12" s="183" t="s">
        <v>321</v>
      </c>
    </row>
    <row r="13" spans="1:37" x14ac:dyDescent="0.35">
      <c r="A13" s="183" t="s">
        <v>323</v>
      </c>
    </row>
    <row r="14" spans="1:37" x14ac:dyDescent="0.35">
      <c r="A14" s="183" t="s">
        <v>324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CE6C6-5D5A-446A-A8D5-2A716574E68F}">
  <sheetPr>
    <tabColor theme="3" tint="0.79998168889431442"/>
  </sheetPr>
  <dimension ref="B2"/>
  <sheetViews>
    <sheetView workbookViewId="0">
      <selection activeCell="B2" sqref="B2"/>
    </sheetView>
  </sheetViews>
  <sheetFormatPr defaultColWidth="8.54296875" defaultRowHeight="14.5" x14ac:dyDescent="0.35"/>
  <cols>
    <col min="1" max="16384" width="8.54296875" style="12"/>
  </cols>
  <sheetData>
    <row r="2" spans="2:2" x14ac:dyDescent="0.35">
      <c r="B2" s="12"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AF15-D4BD-441F-B10C-B7888ACE4A2B}">
  <dimension ref="A1:S39"/>
  <sheetViews>
    <sheetView workbookViewId="0">
      <selection activeCell="G29" sqref="G29"/>
    </sheetView>
  </sheetViews>
  <sheetFormatPr defaultColWidth="15.6328125" defaultRowHeight="14.5" x14ac:dyDescent="0.35"/>
  <cols>
    <col min="1" max="1" width="45.6328125" style="18" customWidth="1"/>
    <col min="2" max="16384" width="15.6328125" style="18"/>
  </cols>
  <sheetData>
    <row r="1" spans="1:19" ht="18.5" x14ac:dyDescent="0.45">
      <c r="A1" s="89" t="s">
        <v>318</v>
      </c>
      <c r="B1" s="93"/>
      <c r="C1" s="92"/>
      <c r="D1" s="92"/>
      <c r="E1" s="92"/>
      <c r="F1" s="92"/>
      <c r="G1" s="92"/>
      <c r="H1" s="92"/>
      <c r="I1" s="92"/>
      <c r="J1" s="92"/>
      <c r="K1" s="92"/>
      <c r="L1" s="92"/>
      <c r="M1" s="92"/>
      <c r="N1" s="92"/>
      <c r="O1" s="92"/>
      <c r="P1" s="92"/>
      <c r="Q1" s="92"/>
      <c r="R1" s="92"/>
      <c r="S1" s="92"/>
    </row>
    <row r="3" spans="1:19" x14ac:dyDescent="0.35">
      <c r="A3" s="18" t="s">
        <v>319</v>
      </c>
      <c r="F3" s="92"/>
      <c r="G3" s="92"/>
      <c r="H3" s="92"/>
      <c r="I3" s="92"/>
      <c r="J3" s="92"/>
      <c r="K3" s="92"/>
      <c r="L3" s="92"/>
      <c r="M3" s="92"/>
    </row>
    <row r="5" spans="1:19" x14ac:dyDescent="0.35">
      <c r="P5" s="115"/>
      <c r="Q5" s="115"/>
    </row>
    <row r="6" spans="1:19" x14ac:dyDescent="0.35">
      <c r="P6" s="115"/>
      <c r="Q6" s="115"/>
    </row>
    <row r="7" spans="1:19" x14ac:dyDescent="0.35">
      <c r="P7" s="115"/>
      <c r="Q7" s="115"/>
    </row>
    <row r="8" spans="1:19" x14ac:dyDescent="0.35">
      <c r="P8" s="115"/>
      <c r="Q8" s="115"/>
    </row>
    <row r="9" spans="1:19" x14ac:dyDescent="0.35">
      <c r="P9" s="115"/>
      <c r="Q9" s="115"/>
    </row>
    <row r="10" spans="1:19" x14ac:dyDescent="0.35">
      <c r="P10" s="115"/>
      <c r="Q10" s="115"/>
    </row>
    <row r="11" spans="1:19" x14ac:dyDescent="0.35">
      <c r="P11" s="115"/>
      <c r="Q11" s="115"/>
    </row>
    <row r="12" spans="1:19" x14ac:dyDescent="0.35">
      <c r="P12" s="115"/>
      <c r="Q12" s="115"/>
    </row>
    <row r="13" spans="1:19" x14ac:dyDescent="0.35">
      <c r="P13" s="115"/>
      <c r="Q13" s="115"/>
    </row>
    <row r="14" spans="1:19" x14ac:dyDescent="0.35">
      <c r="P14" s="115"/>
      <c r="Q14" s="115"/>
    </row>
    <row r="15" spans="1:19" x14ac:dyDescent="0.35">
      <c r="P15" s="115"/>
      <c r="Q15" s="115"/>
    </row>
    <row r="16" spans="1:19" x14ac:dyDescent="0.35">
      <c r="P16" s="115"/>
      <c r="Q16" s="115"/>
    </row>
    <row r="17" spans="1:17" x14ac:dyDescent="0.35">
      <c r="P17" s="115"/>
      <c r="Q17" s="115"/>
    </row>
    <row r="18" spans="1:17" x14ac:dyDescent="0.35">
      <c r="P18" s="115"/>
      <c r="Q18" s="115"/>
    </row>
    <row r="19" spans="1:17" x14ac:dyDescent="0.35">
      <c r="P19" s="115"/>
      <c r="Q19" s="115"/>
    </row>
    <row r="20" spans="1:17" x14ac:dyDescent="0.35">
      <c r="P20" s="115"/>
      <c r="Q20" s="115"/>
    </row>
    <row r="21" spans="1:17" x14ac:dyDescent="0.35">
      <c r="P21" s="115"/>
      <c r="Q21" s="115"/>
    </row>
    <row r="22" spans="1:17" x14ac:dyDescent="0.35">
      <c r="P22" s="115"/>
      <c r="Q22" s="115"/>
    </row>
    <row r="23" spans="1:17" x14ac:dyDescent="0.35">
      <c r="P23" s="115"/>
      <c r="Q23" s="115"/>
    </row>
    <row r="24" spans="1:17" x14ac:dyDescent="0.35">
      <c r="P24" s="115"/>
      <c r="Q24" s="115"/>
    </row>
    <row r="25" spans="1:17" x14ac:dyDescent="0.35">
      <c r="P25" s="115"/>
      <c r="Q25" s="115"/>
    </row>
    <row r="26" spans="1:17" x14ac:dyDescent="0.35">
      <c r="P26" s="115"/>
      <c r="Q26" s="115"/>
    </row>
    <row r="27" spans="1:17" x14ac:dyDescent="0.35">
      <c r="P27" s="115"/>
      <c r="Q27" s="115"/>
    </row>
    <row r="30" spans="1:17" x14ac:dyDescent="0.35">
      <c r="A30" s="116"/>
      <c r="B30" s="117"/>
      <c r="C30" s="117"/>
      <c r="D30" s="117"/>
      <c r="E30" s="117"/>
    </row>
    <row r="31" spans="1:17" x14ac:dyDescent="0.35">
      <c r="A31" s="116"/>
      <c r="B31" s="118"/>
      <c r="C31" s="118"/>
      <c r="D31" s="118"/>
      <c r="E31" s="119"/>
    </row>
    <row r="32" spans="1:17" x14ac:dyDescent="0.35">
      <c r="A32" s="116"/>
      <c r="B32" s="118"/>
      <c r="C32" s="118"/>
      <c r="D32" s="119"/>
      <c r="E32" s="119"/>
    </row>
    <row r="33" spans="1:5" x14ac:dyDescent="0.35">
      <c r="A33" s="116"/>
      <c r="B33" s="118"/>
      <c r="C33" s="118"/>
      <c r="D33" s="118"/>
      <c r="E33" s="119"/>
    </row>
    <row r="35" spans="1:5" x14ac:dyDescent="0.35">
      <c r="A35" s="116"/>
      <c r="B35" s="66"/>
      <c r="C35" s="66"/>
      <c r="D35" s="66"/>
      <c r="E35" s="120"/>
    </row>
    <row r="36" spans="1:5" x14ac:dyDescent="0.35">
      <c r="A36" s="116"/>
      <c r="B36" s="121"/>
      <c r="D36" s="122"/>
      <c r="E36" s="123"/>
    </row>
    <row r="37" spans="1:5" x14ac:dyDescent="0.35">
      <c r="A37" s="116"/>
      <c r="B37" s="121"/>
      <c r="D37" s="122"/>
      <c r="E37" s="123"/>
    </row>
    <row r="38" spans="1:5" x14ac:dyDescent="0.35">
      <c r="A38" s="116"/>
      <c r="B38" s="121"/>
      <c r="D38" s="122"/>
      <c r="E38" s="123"/>
    </row>
    <row r="39" spans="1:5" x14ac:dyDescent="0.35">
      <c r="A39" s="116"/>
      <c r="E39" s="1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f41275d-bc04-4c78-833e-8c65094cedc0">
      <Terms xmlns="http://schemas.microsoft.com/office/infopath/2007/PartnerControls"/>
    </lcf76f155ced4ddcb4097134ff3c332f>
    <TaxCatchAll xmlns="273ff822-d9a1-415a-8e5f-f24c0634255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7E4670575D9E43A0D0956D52CCF417" ma:contentTypeVersion="12" ma:contentTypeDescription="Create a new document." ma:contentTypeScope="" ma:versionID="67479ddbe38d0a1bd01a8a4f4a943bf5">
  <xsd:schema xmlns:xsd="http://www.w3.org/2001/XMLSchema" xmlns:xs="http://www.w3.org/2001/XMLSchema" xmlns:p="http://schemas.microsoft.com/office/2006/metadata/properties" xmlns:ns2="cf41275d-bc04-4c78-833e-8c65094cedc0" xmlns:ns3="273ff822-d9a1-415a-8e5f-f24c06342558" targetNamespace="http://schemas.microsoft.com/office/2006/metadata/properties" ma:root="true" ma:fieldsID="107c357e1c823b2e9e83ddfdfe86cc03" ns2:_="" ns3:_="">
    <xsd:import namespace="cf41275d-bc04-4c78-833e-8c65094cedc0"/>
    <xsd:import namespace="273ff822-d9a1-415a-8e5f-f24c0634255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41275d-bc04-4c78-833e-8c65094ced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991b503-1ffc-4999-8cb9-4dbaf7daa74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ff822-d9a1-415a-8e5f-f24c0634255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5fd7001-2bb6-4d82-8ba0-4fb415e24511}" ma:internalName="TaxCatchAll" ma:showField="CatchAllData" ma:web="273ff822-d9a1-415a-8e5f-f24c0634255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9409F9-AED0-4342-B9DD-E491DD25AAA7}">
  <ds:schemaRefs>
    <ds:schemaRef ds:uri="http://schemas.microsoft.com/office/2006/metadata/properties"/>
    <ds:schemaRef ds:uri="http://schemas.microsoft.com/office/infopath/2007/PartnerControls"/>
    <ds:schemaRef ds:uri="cf41275d-bc04-4c78-833e-8c65094cedc0"/>
    <ds:schemaRef ds:uri="273ff822-d9a1-415a-8e5f-f24c06342558"/>
  </ds:schemaRefs>
</ds:datastoreItem>
</file>

<file path=customXml/itemProps2.xml><?xml version="1.0" encoding="utf-8"?>
<ds:datastoreItem xmlns:ds="http://schemas.openxmlformats.org/officeDocument/2006/customXml" ds:itemID="{B0518B50-D1F5-44ED-89AD-0B1311564F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41275d-bc04-4c78-833e-8c65094cedc0"/>
    <ds:schemaRef ds:uri="273ff822-d9a1-415a-8e5f-f24c063425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D10714-072B-446D-8720-B923576B2C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90</vt:i4>
      </vt:variant>
    </vt:vector>
  </HeadingPairs>
  <TitlesOfParts>
    <vt:vector size="113" baseType="lpstr">
      <vt:lpstr>Summary</vt:lpstr>
      <vt:lpstr>BU-LRIC plan</vt:lpstr>
      <vt:lpstr>1 Volumes</vt:lpstr>
      <vt:lpstr>2 Dimensioning</vt:lpstr>
      <vt:lpstr>3 Network demand</vt:lpstr>
      <vt:lpstr>4 Cost - capital</vt:lpstr>
      <vt:lpstr>5 Cost - opex</vt:lpstr>
      <vt:lpstr>6 - Termination</vt:lpstr>
      <vt:lpstr>Core network details &gt;&gt;&gt;&gt;</vt:lpstr>
      <vt:lpstr>Core costs</vt:lpstr>
      <vt:lpstr>Calibration&gt;&gt;&gt;&gt;</vt:lpstr>
      <vt:lpstr>Assets - HCA</vt:lpstr>
      <vt:lpstr>Revenues, costs</vt:lpstr>
      <vt:lpstr>Volumes details &gt;&gt;&gt;&gt;</vt:lpstr>
      <vt:lpstr>Volume projections</vt:lpstr>
      <vt:lpstr>State of ICT sector</vt:lpstr>
      <vt:lpstr>ITU</vt:lpstr>
      <vt:lpstr>Additional inputs &gt;&gt;&gt;&gt;</vt:lpstr>
      <vt:lpstr>Financial Inputs</vt:lpstr>
      <vt:lpstr>Macroeconomic data</vt:lpstr>
      <vt:lpstr>Lists</vt:lpstr>
      <vt:lpstr>Operator data &gt;&gt;&gt;&gt;&gt;&gt;</vt:lpstr>
      <vt:lpstr>Operator - Confidential</vt:lpstr>
      <vt:lpstr>access_sbc_hardware</vt:lpstr>
      <vt:lpstr>access_sbc_software</vt:lpstr>
      <vt:lpstr>as_hardware</vt:lpstr>
      <vt:lpstr>as_software</vt:lpstr>
      <vt:lpstr>busy_hour_call_attempts</vt:lpstr>
      <vt:lpstr>busy_hour_call_attempts_noincoming</vt:lpstr>
      <vt:lpstr>busy_hour_perc</vt:lpstr>
      <vt:lpstr>capex_price_index</vt:lpstr>
      <vt:lpstr>capex_price_trend</vt:lpstr>
      <vt:lpstr>capex_revenues</vt:lpstr>
      <vt:lpstr>capex_tariff</vt:lpstr>
      <vt:lpstr>cdf_hardware</vt:lpstr>
      <vt:lpstr>cdf_software</vt:lpstr>
      <vt:lpstr>core_costs_capex</vt:lpstr>
      <vt:lpstr>core_costs_capex_discounted</vt:lpstr>
      <vt:lpstr>core_costs_capex_discounted_pv</vt:lpstr>
      <vt:lpstr>core_costs_incoming_only_discounted_pv</vt:lpstr>
      <vt:lpstr>core_costs_incomingonly</vt:lpstr>
      <vt:lpstr>core_costs_noincoming</vt:lpstr>
      <vt:lpstr>core_costs_opex</vt:lpstr>
      <vt:lpstr>core_costs_opex_discounted</vt:lpstr>
      <vt:lpstr>core_costs_opex_discounted_pv</vt:lpstr>
      <vt:lpstr>core_costs_opex_incoming_only</vt:lpstr>
      <vt:lpstr>core_costs_opex_incomingonly_discounted_pv</vt:lpstr>
      <vt:lpstr>core_costs_opex_noincoming</vt:lpstr>
      <vt:lpstr>core_elements</vt:lpstr>
      <vt:lpstr>core_increm_capex</vt:lpstr>
      <vt:lpstr>core_increm_incoming_only_capex</vt:lpstr>
      <vt:lpstr>core_increm_noincoming_capex</vt:lpstr>
      <vt:lpstr>core_number_incoming_only_opex</vt:lpstr>
      <vt:lpstr>core_number_noincoming_voice_opex</vt:lpstr>
      <vt:lpstr>core_number_opex</vt:lpstr>
      <vt:lpstr>core_unit_opex</vt:lpstr>
      <vt:lpstr>currency_scenario</vt:lpstr>
      <vt:lpstr>debt_perc</vt:lpstr>
      <vt:lpstr>Depreciation_straightline</vt:lpstr>
      <vt:lpstr>fixed_calls_per_hour</vt:lpstr>
      <vt:lpstr>fixed_calls_per_hour_noincoming</vt:lpstr>
      <vt:lpstr>fixed_calls_per_hour_onnet_factor</vt:lpstr>
      <vt:lpstr>fixed_calls_per_hour_onnet_factor_noincoming</vt:lpstr>
      <vt:lpstr>fixed_calls_persecond</vt:lpstr>
      <vt:lpstr>fixed_calls_persecond_noincoming</vt:lpstr>
      <vt:lpstr>fixed_calls_persecond_onnet_factor</vt:lpstr>
      <vt:lpstr>fixed_calls_persecond_onnet_factor_noincoming</vt:lpstr>
      <vt:lpstr>fixed_calls_service</vt:lpstr>
      <vt:lpstr>fixed_calls_service_onnet_factor</vt:lpstr>
      <vt:lpstr>fixed_minutes</vt:lpstr>
      <vt:lpstr>fixed_minutes_busy_hour</vt:lpstr>
      <vt:lpstr>fixed_minutes_busy_hour_onnet_factor</vt:lpstr>
      <vt:lpstr>fixed_minutes_incoming</vt:lpstr>
      <vt:lpstr>fixed_services</vt:lpstr>
      <vt:lpstr>growth_scenarios</vt:lpstr>
      <vt:lpstr>idle_time</vt:lpstr>
      <vt:lpstr>inflation</vt:lpstr>
      <vt:lpstr>interr_cscf_hardware</vt:lpstr>
      <vt:lpstr>interr_cscf_software</vt:lpstr>
      <vt:lpstr>ix_sbc_hardware</vt:lpstr>
      <vt:lpstr>ix_sbc_software</vt:lpstr>
      <vt:lpstr>lric_revenues</vt:lpstr>
      <vt:lpstr>max_load</vt:lpstr>
      <vt:lpstr>mins_call</vt:lpstr>
      <vt:lpstr>mins_hour</vt:lpstr>
      <vt:lpstr>mrf_hardware</vt:lpstr>
      <vt:lpstr>mrf_software</vt:lpstr>
      <vt:lpstr>onnet_factor</vt:lpstr>
      <vt:lpstr>opex_factor_index</vt:lpstr>
      <vt:lpstr>opex_price_index</vt:lpstr>
      <vt:lpstr>opex_revenues</vt:lpstr>
      <vt:lpstr>opex_tariff</vt:lpstr>
      <vt:lpstr>proxy_cscf_hardware</vt:lpstr>
      <vt:lpstr>proxy_cscf_software</vt:lpstr>
      <vt:lpstr>pure_lric</vt:lpstr>
      <vt:lpstr>pv_capex_volumes</vt:lpstr>
      <vt:lpstr>pv_opex_volumes</vt:lpstr>
      <vt:lpstr>redundancy</vt:lpstr>
      <vt:lpstr>sec_minute</vt:lpstr>
      <vt:lpstr>serve_cscf_hardware</vt:lpstr>
      <vt:lpstr>serve_cscf_software</vt:lpstr>
      <vt:lpstr>share_operator</vt:lpstr>
      <vt:lpstr>time_index</vt:lpstr>
      <vt:lpstr>total_costs_core_capex</vt:lpstr>
      <vt:lpstr>total_costs_core_opex</vt:lpstr>
      <vt:lpstr>unit_costs_core_capex</vt:lpstr>
      <vt:lpstr>unit_costs_core_opex</vt:lpstr>
      <vt:lpstr>unsuccessful_calls_perc</vt:lpstr>
      <vt:lpstr>volume_ed_capex</vt:lpstr>
      <vt:lpstr>volume_ed_opex</vt:lpstr>
      <vt:lpstr>wacc_index</vt:lpstr>
      <vt:lpstr>wacc_nom_pretax</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Hawthorne</dc:creator>
  <cp:keywords/>
  <dc:description/>
  <cp:lastModifiedBy>Ryan Hawthorne</cp:lastModifiedBy>
  <cp:revision/>
  <dcterms:created xsi:type="dcterms:W3CDTF">2022-04-26T08:04:10Z</dcterms:created>
  <dcterms:modified xsi:type="dcterms:W3CDTF">2024-01-26T09:25:29Z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0x010100D67E4670575D9E43A0D0956D52CCF417</vt:lpwstr>
  </property>
  <property fmtid="{D5CDD505-2E9C-101B-9397-08002B2CF9AE}" pid="3" name="MediaServiceImageTags">
    <vt:lpwstr/>
  </property>
</Properties>
</file>