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66925"/>
  <mc:AlternateContent xmlns:mc="http://schemas.openxmlformats.org/markup-compatibility/2006">
    <mc:Choice Requires="x15">
      <x15ac:absPath xmlns:x15ac="http://schemas.microsoft.com/office/spreadsheetml/2010/11/ac" url="https://acaciaecon.sharepoint.com/sites/ICASAMTR/Shared Documents/General/Cost models/Drafts/"/>
    </mc:Choice>
  </mc:AlternateContent>
  <xr:revisionPtr revIDLastSave="0" documentId="8_{C3D24D17-9C10-4139-9560-106C2F519E8A}" xr6:coauthVersionLast="47" xr6:coauthVersionMax="47" xr10:uidLastSave="{00000000-0000-0000-0000-000000000000}"/>
  <bookViews>
    <workbookView xWindow="-120" yWindow="-120" windowWidth="29040" windowHeight="15720" tabRatio="917" xr2:uid="{F63D13DB-EAF4-4600-B396-F89D7EBFAD03}"/>
  </bookViews>
  <sheets>
    <sheet name="Summary" sheetId="1" r:id="rId1"/>
    <sheet name="BU-LRIC plan" sheetId="12" r:id="rId2"/>
    <sheet name="1 Volumes" sheetId="6" r:id="rId3"/>
    <sheet name="2 Dimensioning" sheetId="15" r:id="rId4"/>
    <sheet name="3 Network demand" sheetId="35" r:id="rId5"/>
    <sheet name="4 Cost - capital" sheetId="3" r:id="rId6"/>
    <sheet name="5 Cost - opex" sheetId="5" r:id="rId7"/>
    <sheet name="6 - Termination" sheetId="95" r:id="rId8"/>
    <sheet name="Core network details &gt;&gt;&gt;&gt;" sheetId="40" r:id="rId9"/>
    <sheet name="Core costs" sheetId="41" r:id="rId10"/>
    <sheet name="Calibration&gt;&gt;&gt;&gt;" sheetId="89" r:id="rId11"/>
    <sheet name="Assets - HCA" sheetId="91" r:id="rId12"/>
    <sheet name="Revenues, costs" sheetId="92" r:id="rId13"/>
    <sheet name="Volumes details &gt;&gt;&gt;&gt;" sheetId="60" r:id="rId14"/>
    <sheet name="Volume projections" sheetId="87" r:id="rId15"/>
    <sheet name="State of ICT sector" sheetId="86" r:id="rId16"/>
    <sheet name="ITU" sheetId="76" r:id="rId17"/>
    <sheet name="Additional inputs &gt;&gt;&gt;&gt;" sheetId="20" r:id="rId18"/>
    <sheet name="Financial Inputs" sheetId="93" r:id="rId19"/>
    <sheet name="Macroeconomic data" sheetId="8" r:id="rId20"/>
    <sheet name="Lists" sheetId="23" r:id="rId21"/>
    <sheet name="Operator data &gt;&gt;&gt;&gt;&gt;&gt;" sheetId="28" r:id="rId22"/>
    <sheet name="Operator - Confidential" sheetId="22" r:id="rId23"/>
  </sheets>
  <definedNames>
    <definedName name="access_sbc_hardware">'2 Dimensioning'!$D$52</definedName>
    <definedName name="access_sbc_software">'2 Dimensioning'!$D$53</definedName>
    <definedName name="as_hardware">'2 Dimensioning'!$D$40</definedName>
    <definedName name="as_software">'2 Dimensioning'!$D$41</definedName>
    <definedName name="busy_hour_call_attempts">'2 Dimensioning'!$D$138:$W$138</definedName>
    <definedName name="busy_hour_call_attempts_noincoming">'2 Dimensioning'!$Z$138:$AS$138</definedName>
    <definedName name="busy_hour_perc">'2 Dimensioning'!$D$34</definedName>
    <definedName name="capex_price_index">'Core costs'!$D$5:$W$5</definedName>
    <definedName name="capex_price_trend">'Core costs'!$D$4:$W$4</definedName>
    <definedName name="capex_revenues">'6 - Termination'!$E$9:$X$9</definedName>
    <definedName name="capex_tariff">'6 - Termination'!$E$7:$X$7</definedName>
    <definedName name="cdf_hardware">'2 Dimensioning'!$D$42</definedName>
    <definedName name="cdf_software">'2 Dimensioning'!$D$43</definedName>
    <definedName name="core_costs_capex">'4 Cost - capital'!$D$25:$W$25</definedName>
    <definedName name="core_costs_capex_discounted">'4 Cost - capital'!$D$26:$W$26</definedName>
    <definedName name="core_costs_capex_discounted_pv">'4 Cost - capital'!$C$26</definedName>
    <definedName name="core_costs_incoming_only_discounted_pv">'4 Cost - capital'!$AU$26</definedName>
    <definedName name="core_costs_incomingonly">'4 Cost - capital'!$AV$25:$BO$25</definedName>
    <definedName name="core_costs_noincoming">'4 Cost - capital'!$Z$25:$AS$25</definedName>
    <definedName name="core_costs_opex">'5 Cost - opex'!$D$26:$W$26</definedName>
    <definedName name="core_costs_opex_discounted">'5 Cost - opex'!$D$27:$W$27</definedName>
    <definedName name="core_costs_opex_discounted_pv">'5 Cost - opex'!$C$27</definedName>
    <definedName name="core_costs_opex_incoming_only">'5 Cost - opex'!$AV$26:$BO$26</definedName>
    <definedName name="core_costs_opex_incomingonly_discounted_pv">'5 Cost - opex'!$AU$27</definedName>
    <definedName name="core_costs_opex_noincoming">'5 Cost - opex'!$Z$26:$AS$26</definedName>
    <definedName name="core_elements">'3 Network demand'!$A$15:$A$30</definedName>
    <definedName name="core_increm_capex">'3 Network demand'!$D$42:$W$57</definedName>
    <definedName name="core_increm_incoming_only_capex">'3 Network demand'!$AV$42:$BO$57</definedName>
    <definedName name="core_increm_noincoming_capex">'3 Network demand'!$Z$42:$AS$57</definedName>
    <definedName name="core_number_incoming_only_opex">'3 Network demand'!$AV$109:$BO$124</definedName>
    <definedName name="core_number_noincoming_voice_opex">'3 Network demand'!$Z$109:$AS$124</definedName>
    <definedName name="core_number_opex">'3 Network demand'!$D$109:$W$124</definedName>
    <definedName name="core_unit_opex">'Core costs'!$K$38:$S$49</definedName>
    <definedName name="currency_scenario">Lists!$A$12:$A$14</definedName>
    <definedName name="debt_perc">'Financial Inputs'!$B$3</definedName>
    <definedName name="Depreciation_straightline">'Assets - HCA'!$C$11:$V$11</definedName>
    <definedName name="fixed_calls_per_hour">'2 Dimensioning'!$D$111:$W$111</definedName>
    <definedName name="fixed_calls_per_hour_noincoming">'2 Dimensioning'!$Z$111:$AS$111</definedName>
    <definedName name="fixed_calls_per_hour_onnet_factor">'2 Dimensioning'!$D$124:$W$124</definedName>
    <definedName name="fixed_calls_per_hour_onnet_factor_noincoming">'2 Dimensioning'!$Z$124:$AS$124</definedName>
    <definedName name="fixed_calls_persecond">'2 Dimensioning'!$D$153:$W$153</definedName>
    <definedName name="fixed_calls_persecond_noincoming">'2 Dimensioning'!$Z$153:$AS$153</definedName>
    <definedName name="fixed_calls_persecond_onnet_factor">'2 Dimensioning'!$D$165:$W$165</definedName>
    <definedName name="fixed_calls_persecond_onnet_factor_noincoming">'2 Dimensioning'!$Z$165:$AS$165</definedName>
    <definedName name="fixed_calls_service">'2 Dimensioning'!$D$103:$W$108</definedName>
    <definedName name="fixed_calls_service_onnet_factor">'2 Dimensioning'!$D$116:$W$122</definedName>
    <definedName name="fixed_minutes">'2 Dimensioning'!$D$65:$W$71</definedName>
    <definedName name="fixed_minutes_busy_hour">'2 Dimensioning'!$D$79:$W$85</definedName>
    <definedName name="fixed_minutes_busy_hour_onnet_factor">'2 Dimensioning'!$D$90:$W$96</definedName>
    <definedName name="fixed_minutes_incoming">'2 Dimensioning'!$D$170:$W$170</definedName>
    <definedName name="fixed_services">'2 Dimensioning'!$A$65:$A$71</definedName>
    <definedName name="growth_scenarios">Lists!$A$4:$A$6</definedName>
    <definedName name="idle_time">'2 Dimensioning'!$D$24</definedName>
    <definedName name="inflation">'Financial Inputs'!$D$10:$W$10</definedName>
    <definedName name="inflation_index">'Financial Inputs'!$D$11:$W$11</definedName>
    <definedName name="interr_cscf_hardware">'2 Dimensioning'!$D$46</definedName>
    <definedName name="interr_cscf_software">'2 Dimensioning'!$D$47</definedName>
    <definedName name="ix_sbc_hardware">'2 Dimensioning'!$D$54</definedName>
    <definedName name="ix_sbc_software">'2 Dimensioning'!$D$55</definedName>
    <definedName name="lric_revenues">'Revenues, costs'!$B$6:$U$6</definedName>
    <definedName name="max_load">'3 Network demand'!$C$5</definedName>
    <definedName name="mins_call">'2 Dimensioning'!$D$23</definedName>
    <definedName name="mins_hour">'2 Dimensioning'!$D$11</definedName>
    <definedName name="mrf_hardware">'2 Dimensioning'!$D$50</definedName>
    <definedName name="mrf_software">'2 Dimensioning'!$D$51</definedName>
    <definedName name="onnet_factor">'2 Dimensioning'!$D$17</definedName>
    <definedName name="opex_price_index">'Core costs'!$D$8:$W$8</definedName>
    <definedName name="opex_revenues">'6 - Termination'!$E$22:$X$22</definedName>
    <definedName name="opex_tariff">'6 - Termination'!$E$20:$X$20</definedName>
    <definedName name="proxy_cscf_hardware">'2 Dimensioning'!$D$44</definedName>
    <definedName name="proxy_cscf_software">'2 Dimensioning'!$D$45</definedName>
    <definedName name="pure_lric">'6 - Termination'!$E$31:$X$31</definedName>
    <definedName name="pv_capex_volumes">'6 - Termination'!$D$15</definedName>
    <definedName name="pv_opex_volumes">'6 - Termination'!$D$28</definedName>
    <definedName name="pv_volumes_capex">'6 - Termination'!#REF!</definedName>
    <definedName name="redundancy">'3 Network demand'!$C$6</definedName>
    <definedName name="sec_minute">'2 Dimensioning'!$D$10</definedName>
    <definedName name="serve_cscf_hardware">'2 Dimensioning'!$D$48</definedName>
    <definedName name="serve_cscf_software">'2 Dimensioning'!$D$49</definedName>
    <definedName name="share_operator">Summary!$B$24</definedName>
    <definedName name="time_index">'3 Network demand'!$D$40:$W$40</definedName>
    <definedName name="total_costs_core_capex">'Core costs'!$D$32:$W$32</definedName>
    <definedName name="total_costs_core_opex">'Core costs'!$D$55:$W$55</definedName>
    <definedName name="total_volumes_discounted">'6 - Termination'!#REF!</definedName>
    <definedName name="unit_costs_core_capex">'Core costs'!$D$15:$W$30</definedName>
    <definedName name="unit_costs_core_opex">'Core costs'!$D$38:$W$53</definedName>
    <definedName name="unsuccessful_calls_perc">'2 Dimensioning'!$D$22</definedName>
    <definedName name="volume_ed_capex">'6 - Termination'!$E$14:$X$14</definedName>
    <definedName name="volume_ed_opex">'6 - Termination'!$E$27:$X$27</definedName>
    <definedName name="wacc_index">'Financial Inputs'!$D$23:$W$23</definedName>
    <definedName name="wacc_nom_pretax">'Financial Inputs'!$D$22:$W$22</definedName>
    <definedName name="years">Summary!$B$29:$U$29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41" l="1"/>
  <c r="D45" i="15"/>
  <c r="D44" i="15"/>
  <c r="B13" i="87" l="1"/>
  <c r="E64" i="35"/>
  <c r="E41" i="95" a="1"/>
  <c r="E41" i="95" s="1"/>
  <c r="E30" i="95" l="1" a="1"/>
  <c r="E30" i="95" s="1"/>
  <c r="F64" i="35"/>
  <c r="G64" i="35"/>
  <c r="H64" i="35"/>
  <c r="I64" i="35"/>
  <c r="J64" i="35"/>
  <c r="F65" i="35"/>
  <c r="G65" i="35"/>
  <c r="H65" i="35"/>
  <c r="I65" i="35"/>
  <c r="J65" i="35"/>
  <c r="F66" i="35"/>
  <c r="G66" i="35"/>
  <c r="H66" i="35"/>
  <c r="I66" i="35"/>
  <c r="J66" i="35"/>
  <c r="F67" i="35"/>
  <c r="G67" i="35"/>
  <c r="H67" i="35"/>
  <c r="I67" i="35"/>
  <c r="J67" i="35"/>
  <c r="F68" i="35"/>
  <c r="G68" i="35"/>
  <c r="H68" i="35"/>
  <c r="I68" i="35"/>
  <c r="J68" i="35"/>
  <c r="F69" i="35"/>
  <c r="G69" i="35"/>
  <c r="H69" i="35"/>
  <c r="I69" i="35"/>
  <c r="J69" i="35"/>
  <c r="F70" i="35"/>
  <c r="G70" i="35"/>
  <c r="H70" i="35"/>
  <c r="I70" i="35"/>
  <c r="J70" i="35"/>
  <c r="F71" i="35"/>
  <c r="G71" i="35"/>
  <c r="H71" i="35"/>
  <c r="I71" i="35"/>
  <c r="J71" i="35"/>
  <c r="F72" i="35"/>
  <c r="G72" i="35"/>
  <c r="H72" i="35"/>
  <c r="I72" i="35"/>
  <c r="J72" i="35"/>
  <c r="F73" i="35"/>
  <c r="G73" i="35"/>
  <c r="H73" i="35"/>
  <c r="I73" i="35"/>
  <c r="J73" i="35"/>
  <c r="F74" i="35"/>
  <c r="G74" i="35"/>
  <c r="H74" i="35"/>
  <c r="I74" i="35"/>
  <c r="J74" i="35"/>
  <c r="F75" i="35"/>
  <c r="G75" i="35"/>
  <c r="H75" i="35"/>
  <c r="I75" i="35"/>
  <c r="J75" i="35"/>
  <c r="F76" i="35"/>
  <c r="G76" i="35"/>
  <c r="H76" i="35"/>
  <c r="I76" i="35"/>
  <c r="J76" i="35"/>
  <c r="F77" i="35"/>
  <c r="G77" i="35"/>
  <c r="H77" i="35"/>
  <c r="I77" i="35"/>
  <c r="J77" i="35"/>
  <c r="F78" i="35"/>
  <c r="G78" i="35"/>
  <c r="H78" i="35"/>
  <c r="I78" i="35"/>
  <c r="J78" i="35"/>
  <c r="F79" i="35"/>
  <c r="G79" i="35"/>
  <c r="H79" i="35"/>
  <c r="I79" i="35"/>
  <c r="J79" i="35"/>
  <c r="E65" i="35"/>
  <c r="E66" i="35"/>
  <c r="E67" i="35"/>
  <c r="E68" i="35"/>
  <c r="E69" i="35"/>
  <c r="E70" i="35"/>
  <c r="E71" i="35"/>
  <c r="E72" i="35"/>
  <c r="E73" i="35"/>
  <c r="E74" i="35"/>
  <c r="E75" i="35"/>
  <c r="E76" i="35"/>
  <c r="E77" i="35"/>
  <c r="E78" i="35"/>
  <c r="E79" i="35"/>
  <c r="E18" i="95" a="1"/>
  <c r="E18" i="95" s="1"/>
  <c r="G5" i="41"/>
  <c r="H5" i="41" s="1"/>
  <c r="I5" i="41" s="1"/>
  <c r="J5" i="41" s="1"/>
  <c r="K5" i="41" s="1"/>
  <c r="L5" i="41" s="1"/>
  <c r="M5" i="41" s="1"/>
  <c r="N5" i="41" s="1"/>
  <c r="O5" i="41" s="1"/>
  <c r="P5" i="41" s="1"/>
  <c r="Q5" i="41" s="1"/>
  <c r="R5" i="41" s="1"/>
  <c r="S5" i="41" s="1"/>
  <c r="T5" i="41" s="1"/>
  <c r="U5" i="41" s="1"/>
  <c r="V5" i="41" s="1"/>
  <c r="W5" i="41" s="1"/>
  <c r="F5" i="41"/>
  <c r="E5" i="41"/>
  <c r="E5" i="95" a="1"/>
  <c r="E5" i="95" s="1"/>
  <c r="D8" i="41" l="1"/>
  <c r="H8" i="41" l="1"/>
  <c r="E8" i="41"/>
  <c r="D32" i="41" l="1"/>
  <c r="E11" i="93" l="1"/>
  <c r="D11" i="93"/>
  <c r="E4" i="41" l="1"/>
  <c r="E15" i="41" s="1"/>
  <c r="C15" i="87"/>
  <c r="C13" i="87"/>
  <c r="C8" i="6" s="1"/>
  <c r="D23" i="93"/>
  <c r="W18" i="93"/>
  <c r="V18" i="93"/>
  <c r="U18" i="93"/>
  <c r="T18" i="93"/>
  <c r="S18" i="93"/>
  <c r="R18" i="93"/>
  <c r="Q18" i="93"/>
  <c r="P18" i="93"/>
  <c r="O18" i="93"/>
  <c r="N18" i="93"/>
  <c r="M18" i="93"/>
  <c r="L18" i="93"/>
  <c r="K18" i="93"/>
  <c r="J18" i="93"/>
  <c r="I18" i="93"/>
  <c r="H18" i="93"/>
  <c r="G18" i="93"/>
  <c r="F18" i="93"/>
  <c r="E18" i="93"/>
  <c r="D18" i="93"/>
  <c r="W16" i="93"/>
  <c r="W19" i="93" s="1"/>
  <c r="V16" i="93"/>
  <c r="V19" i="93" s="1"/>
  <c r="U16" i="93"/>
  <c r="U19" i="93" s="1"/>
  <c r="T16" i="93"/>
  <c r="T19" i="93" s="1"/>
  <c r="S16" i="93"/>
  <c r="S19" i="93" s="1"/>
  <c r="R16" i="93"/>
  <c r="R19" i="93" s="1"/>
  <c r="Q16" i="93"/>
  <c r="Q19" i="93" s="1"/>
  <c r="P16" i="93"/>
  <c r="P19" i="93" s="1"/>
  <c r="O16" i="93"/>
  <c r="O19" i="93" s="1"/>
  <c r="N16" i="93"/>
  <c r="N19" i="93" s="1"/>
  <c r="M16" i="93"/>
  <c r="M19" i="93" s="1"/>
  <c r="L16" i="93"/>
  <c r="L19" i="93" s="1"/>
  <c r="K16" i="93"/>
  <c r="K19" i="93" s="1"/>
  <c r="J16" i="93"/>
  <c r="J19" i="93" s="1"/>
  <c r="I16" i="93"/>
  <c r="I19" i="93" s="1"/>
  <c r="H16" i="93"/>
  <c r="H19" i="93" s="1"/>
  <c r="G16" i="93"/>
  <c r="G19" i="93" s="1"/>
  <c r="F16" i="93"/>
  <c r="F19" i="93" s="1"/>
  <c r="E16" i="93"/>
  <c r="E19" i="93" s="1"/>
  <c r="D16" i="93"/>
  <c r="D19" i="93" s="1"/>
  <c r="W10" i="93"/>
  <c r="V10" i="93"/>
  <c r="U10" i="93"/>
  <c r="T10" i="93"/>
  <c r="S10" i="93"/>
  <c r="R10" i="93"/>
  <c r="Q10" i="93"/>
  <c r="P10" i="93"/>
  <c r="O10" i="93"/>
  <c r="N10" i="93"/>
  <c r="M10" i="93"/>
  <c r="L10" i="93"/>
  <c r="K10" i="93"/>
  <c r="J10" i="93"/>
  <c r="I10" i="93"/>
  <c r="H10" i="93"/>
  <c r="G10" i="93"/>
  <c r="F10" i="93"/>
  <c r="E10" i="93"/>
  <c r="D10" i="93"/>
  <c r="F11" i="93" s="1"/>
  <c r="G11" i="93" s="1"/>
  <c r="H11" i="93" s="1"/>
  <c r="I11" i="93" s="1"/>
  <c r="J11" i="93" s="1"/>
  <c r="K11" i="93" s="1"/>
  <c r="L11" i="93" s="1"/>
  <c r="M11" i="93" s="1"/>
  <c r="N11" i="93" s="1"/>
  <c r="O11" i="93" s="1"/>
  <c r="P11" i="93" s="1"/>
  <c r="Q11" i="93" s="1"/>
  <c r="R11" i="93" s="1"/>
  <c r="S11" i="93" s="1"/>
  <c r="T11" i="93" s="1"/>
  <c r="U11" i="93" s="1"/>
  <c r="V11" i="93" s="1"/>
  <c r="W11" i="93" s="1"/>
  <c r="D6" i="93" a="1"/>
  <c r="D6" i="93" s="1"/>
  <c r="B57" i="6"/>
  <c r="D4" i="41"/>
  <c r="H20" i="93" l="1"/>
  <c r="H22" i="93" s="1"/>
  <c r="H21" i="93" s="1"/>
  <c r="T20" i="93"/>
  <c r="T22" i="93" s="1"/>
  <c r="T21" i="93" s="1"/>
  <c r="E20" i="93"/>
  <c r="E22" i="93" s="1"/>
  <c r="E21" i="93" s="1"/>
  <c r="I20" i="93"/>
  <c r="I22" i="93" s="1"/>
  <c r="I21" i="93" s="1"/>
  <c r="M20" i="93"/>
  <c r="M22" i="93" s="1"/>
  <c r="M21" i="93" s="1"/>
  <c r="Q20" i="93"/>
  <c r="Q22" i="93" s="1"/>
  <c r="Q21" i="93" s="1"/>
  <c r="U20" i="93"/>
  <c r="U22" i="93" s="1"/>
  <c r="U21" i="93" s="1"/>
  <c r="D20" i="93"/>
  <c r="D22" i="93" s="1"/>
  <c r="P20" i="93"/>
  <c r="P22" i="93" s="1"/>
  <c r="P21" i="93" s="1"/>
  <c r="F20" i="93"/>
  <c r="F22" i="93" s="1"/>
  <c r="F21" i="93" s="1"/>
  <c r="J20" i="93"/>
  <c r="J22" i="93" s="1"/>
  <c r="J21" i="93" s="1"/>
  <c r="N20" i="93"/>
  <c r="N22" i="93" s="1"/>
  <c r="N21" i="93" s="1"/>
  <c r="R20" i="93"/>
  <c r="R22" i="93" s="1"/>
  <c r="R21" i="93" s="1"/>
  <c r="V20" i="93"/>
  <c r="V22" i="93" s="1"/>
  <c r="V21" i="93" s="1"/>
  <c r="L20" i="93"/>
  <c r="L22" i="93" s="1"/>
  <c r="L21" i="93" s="1"/>
  <c r="G20" i="93"/>
  <c r="G22" i="93" s="1"/>
  <c r="G21" i="93" s="1"/>
  <c r="K20" i="93"/>
  <c r="K22" i="93" s="1"/>
  <c r="K21" i="93" s="1"/>
  <c r="O20" i="93"/>
  <c r="O22" i="93" s="1"/>
  <c r="O21" i="93" s="1"/>
  <c r="S20" i="93"/>
  <c r="S22" i="93" s="1"/>
  <c r="S21" i="93" s="1"/>
  <c r="W20" i="93"/>
  <c r="W22" i="93" s="1"/>
  <c r="W21" i="93" s="1"/>
  <c r="E23" i="93" l="1"/>
  <c r="F23" i="93" s="1"/>
  <c r="G23" i="93" s="1"/>
  <c r="H23" i="93" s="1"/>
  <c r="I23" i="93" s="1"/>
  <c r="J23" i="93" s="1"/>
  <c r="K23" i="93" s="1"/>
  <c r="L23" i="93" s="1"/>
  <c r="M23" i="93" s="1"/>
  <c r="N23" i="93" s="1"/>
  <c r="O23" i="93" s="1"/>
  <c r="P23" i="93" s="1"/>
  <c r="Q23" i="93" s="1"/>
  <c r="R23" i="93" s="1"/>
  <c r="S23" i="93" s="1"/>
  <c r="T23" i="93" s="1"/>
  <c r="U23" i="93" s="1"/>
  <c r="V23" i="93" s="1"/>
  <c r="W23" i="93" s="1"/>
  <c r="D21" i="93"/>
  <c r="H5" i="8"/>
  <c r="AV8" i="5" l="1" a="1"/>
  <c r="AV8" i="5" s="1"/>
  <c r="AV7" i="5" a="1"/>
  <c r="AV7" i="5" s="1"/>
  <c r="AV7" i="3" a="1"/>
  <c r="AV7" i="3" s="1"/>
  <c r="AV41" i="35" a="1"/>
  <c r="AV41" i="35" s="1"/>
  <c r="AV40" i="35" a="1"/>
  <c r="AV40" i="35" s="1"/>
  <c r="AV108" i="35" l="1" a="1"/>
  <c r="AV108" i="35" s="1"/>
  <c r="AV107" i="35" a="1"/>
  <c r="AV107" i="35" s="1"/>
  <c r="D34" i="15" l="1"/>
  <c r="D30" i="15"/>
  <c r="A109" i="35" a="1"/>
  <c r="A109" i="35" s="1"/>
  <c r="Z108" i="35" a="1"/>
  <c r="Z108" i="35" s="1"/>
  <c r="D108" i="35" a="1"/>
  <c r="D108" i="35" s="1"/>
  <c r="Z107" i="35" a="1"/>
  <c r="Z107" i="35" s="1"/>
  <c r="A64" i="35" a="1"/>
  <c r="A64" i="35" s="1"/>
  <c r="Z63" i="35" a="1"/>
  <c r="Z63" i="35" s="1"/>
  <c r="D63" i="35" a="1"/>
  <c r="D63" i="35" s="1"/>
  <c r="Z62" i="35" a="1"/>
  <c r="A86" i="35" a="1"/>
  <c r="A86" i="35" s="1"/>
  <c r="Z85" i="35" a="1"/>
  <c r="Z85" i="35" s="1"/>
  <c r="D85" i="35" a="1"/>
  <c r="D85" i="35" s="1"/>
  <c r="Z62" i="35" l="1"/>
  <c r="AE64" i="35"/>
  <c r="AD65" i="35"/>
  <c r="AC66" i="35"/>
  <c r="AB67" i="35"/>
  <c r="AF67" i="35"/>
  <c r="AE68" i="35"/>
  <c r="AD69" i="35"/>
  <c r="AC70" i="35"/>
  <c r="AB71" i="35"/>
  <c r="AF71" i="35"/>
  <c r="AE72" i="35"/>
  <c r="AD73" i="35"/>
  <c r="AC74" i="35"/>
  <c r="AB75" i="35"/>
  <c r="AF75" i="35"/>
  <c r="AE76" i="35"/>
  <c r="AD77" i="35"/>
  <c r="AC78" i="35"/>
  <c r="AB79" i="35"/>
  <c r="AF79" i="35"/>
  <c r="AA68" i="35"/>
  <c r="AA72" i="35"/>
  <c r="AA76" i="35"/>
  <c r="AA64" i="35"/>
  <c r="AC79" i="35"/>
  <c r="AA65" i="35"/>
  <c r="AA69" i="35"/>
  <c r="AA73" i="35"/>
  <c r="AA77" i="35"/>
  <c r="AB64" i="35"/>
  <c r="AF64" i="35"/>
  <c r="AE65" i="35"/>
  <c r="AD66" i="35"/>
  <c r="AC67" i="35"/>
  <c r="AB68" i="35"/>
  <c r="AF68" i="35"/>
  <c r="AE69" i="35"/>
  <c r="AD70" i="35"/>
  <c r="AC71" i="35"/>
  <c r="AB72" i="35"/>
  <c r="AF72" i="35"/>
  <c r="AE73" i="35"/>
  <c r="AD74" i="35"/>
  <c r="AC75" i="35"/>
  <c r="AB76" i="35"/>
  <c r="AF76" i="35"/>
  <c r="AE77" i="35"/>
  <c r="AD78" i="35"/>
  <c r="AC64" i="35"/>
  <c r="AB65" i="35"/>
  <c r="AF65" i="35"/>
  <c r="AE66" i="35"/>
  <c r="AD67" i="35"/>
  <c r="AC68" i="35"/>
  <c r="AB69" i="35"/>
  <c r="AF69" i="35"/>
  <c r="AE70" i="35"/>
  <c r="AD71" i="35"/>
  <c r="AC72" i="35"/>
  <c r="AB73" i="35"/>
  <c r="AF73" i="35"/>
  <c r="AE74" i="35"/>
  <c r="AD75" i="35"/>
  <c r="AC76" i="35"/>
  <c r="AB77" i="35"/>
  <c r="AF77" i="35"/>
  <c r="AE78" i="35"/>
  <c r="AD79" i="35"/>
  <c r="AA66" i="35"/>
  <c r="AA70" i="35"/>
  <c r="AA74" i="35"/>
  <c r="AA78" i="35"/>
  <c r="AD64" i="35"/>
  <c r="AC65" i="35"/>
  <c r="AB66" i="35"/>
  <c r="AF66" i="35"/>
  <c r="AE67" i="35"/>
  <c r="AD68" i="35"/>
  <c r="AC69" i="35"/>
  <c r="AB70" i="35"/>
  <c r="AF70" i="35"/>
  <c r="AE71" i="35"/>
  <c r="AD72" i="35"/>
  <c r="AC73" i="35"/>
  <c r="AB74" i="35"/>
  <c r="AF74" i="35"/>
  <c r="AE75" i="35"/>
  <c r="AD76" i="35"/>
  <c r="AC77" i="35"/>
  <c r="AB78" i="35"/>
  <c r="AF78" i="35"/>
  <c r="AE79" i="35"/>
  <c r="AA67" i="35"/>
  <c r="AA71" i="35"/>
  <c r="AA75" i="35"/>
  <c r="AA79" i="35"/>
  <c r="AA5" i="8"/>
  <c r="Z5" i="8"/>
  <c r="Y5" i="8"/>
  <c r="X5" i="8"/>
  <c r="W5" i="8"/>
  <c r="V5" i="8"/>
  <c r="U5" i="8"/>
  <c r="T5" i="8"/>
  <c r="S5" i="8"/>
  <c r="R5" i="8"/>
  <c r="Q5" i="8"/>
  <c r="P5" i="8"/>
  <c r="O5" i="8"/>
  <c r="N5" i="8"/>
  <c r="M5" i="8"/>
  <c r="L5" i="8"/>
  <c r="K5" i="8"/>
  <c r="J5" i="8"/>
  <c r="I5" i="8"/>
  <c r="B54" i="87" l="1" a="1"/>
  <c r="B54" i="87" s="1"/>
  <c r="B7" i="91" l="1"/>
  <c r="A6" i="91"/>
  <c r="C5" i="91" a="1"/>
  <c r="C5" i="91" s="1"/>
  <c r="A15" i="92"/>
  <c r="B14" i="92" a="1"/>
  <c r="B14" i="92" s="1"/>
  <c r="B5" i="92" a="1"/>
  <c r="B5" i="92" s="1"/>
  <c r="A19" i="6" l="1"/>
  <c r="A67" i="15" s="1"/>
  <c r="B19" i="87" l="1" a="1"/>
  <c r="B33" i="87" a="1"/>
  <c r="H28" i="6" s="1"/>
  <c r="B40" i="87" a="1"/>
  <c r="B40" i="87" s="1"/>
  <c r="B35" i="6" s="1"/>
  <c r="B47" i="87" a="1"/>
  <c r="B47" i="87" s="1"/>
  <c r="B41" i="6" s="1"/>
  <c r="B47" i="6"/>
  <c r="M28" i="6"/>
  <c r="C14" i="6"/>
  <c r="D14" i="6"/>
  <c r="E14" i="6"/>
  <c r="F14" i="6"/>
  <c r="G14" i="6"/>
  <c r="H14" i="6"/>
  <c r="I14" i="6"/>
  <c r="J14" i="6"/>
  <c r="K14" i="6"/>
  <c r="L14" i="6"/>
  <c r="M14" i="6"/>
  <c r="N14" i="6"/>
  <c r="O14" i="6"/>
  <c r="P14" i="6"/>
  <c r="B19" i="87" l="1"/>
  <c r="E26" i="87"/>
  <c r="E21" i="6" s="1"/>
  <c r="M26" i="87"/>
  <c r="M21" i="6" s="1"/>
  <c r="U26" i="87"/>
  <c r="U21" i="6" s="1"/>
  <c r="T26" i="87"/>
  <c r="T21" i="6" s="1"/>
  <c r="F26" i="87"/>
  <c r="F21" i="6" s="1"/>
  <c r="N26" i="87"/>
  <c r="N21" i="6" s="1"/>
  <c r="G26" i="87"/>
  <c r="G21" i="6" s="1"/>
  <c r="O26" i="87"/>
  <c r="O21" i="6" s="1"/>
  <c r="Q26" i="87"/>
  <c r="Q21" i="6" s="1"/>
  <c r="J26" i="87"/>
  <c r="J21" i="6" s="1"/>
  <c r="H26" i="87"/>
  <c r="H21" i="6" s="1"/>
  <c r="P26" i="87"/>
  <c r="P21" i="6" s="1"/>
  <c r="R26" i="87"/>
  <c r="R21" i="6" s="1"/>
  <c r="I26" i="87"/>
  <c r="I21" i="6" s="1"/>
  <c r="D26" i="87"/>
  <c r="D21" i="6" s="1"/>
  <c r="C26" i="87"/>
  <c r="C21" i="6" s="1"/>
  <c r="K26" i="87"/>
  <c r="K21" i="6" s="1"/>
  <c r="S26" i="87"/>
  <c r="S21" i="6" s="1"/>
  <c r="L26" i="87"/>
  <c r="L21" i="6" s="1"/>
  <c r="F28" i="6"/>
  <c r="L28" i="6"/>
  <c r="D28" i="6"/>
  <c r="I28" i="6"/>
  <c r="N28" i="6"/>
  <c r="N47" i="6"/>
  <c r="M47" i="6"/>
  <c r="J47" i="6"/>
  <c r="I47" i="6"/>
  <c r="P47" i="6"/>
  <c r="L47" i="6"/>
  <c r="H47" i="6"/>
  <c r="O47" i="6"/>
  <c r="K47" i="6"/>
  <c r="G47" i="6"/>
  <c r="E28" i="6"/>
  <c r="J28" i="6"/>
  <c r="P28" i="6"/>
  <c r="B33" i="87"/>
  <c r="B28" i="6" s="1"/>
  <c r="T28" i="6"/>
  <c r="R28" i="6"/>
  <c r="S14" i="6"/>
  <c r="Q28" i="6"/>
  <c r="T47" i="6"/>
  <c r="R14" i="6"/>
  <c r="U28" i="6"/>
  <c r="S47" i="6"/>
  <c r="T14" i="6"/>
  <c r="U47" i="6"/>
  <c r="Q47" i="6"/>
  <c r="U14" i="6"/>
  <c r="Q14" i="6"/>
  <c r="R47" i="6"/>
  <c r="S28" i="6"/>
  <c r="O28" i="6"/>
  <c r="K28" i="6"/>
  <c r="G28" i="6"/>
  <c r="C28" i="6"/>
  <c r="K35" i="6"/>
  <c r="F47" i="6"/>
  <c r="C35" i="6"/>
  <c r="E47" i="6"/>
  <c r="S35" i="6"/>
  <c r="R35" i="6"/>
  <c r="J35" i="6"/>
  <c r="R41" i="6"/>
  <c r="O35" i="6"/>
  <c r="G35" i="6"/>
  <c r="N41" i="6"/>
  <c r="D47" i="6"/>
  <c r="F41" i="6"/>
  <c r="N35" i="6"/>
  <c r="F35" i="6"/>
  <c r="J41" i="6"/>
  <c r="U35" i="6"/>
  <c r="Q35" i="6"/>
  <c r="M35" i="6"/>
  <c r="I35" i="6"/>
  <c r="E35" i="6"/>
  <c r="T41" i="6"/>
  <c r="P41" i="6"/>
  <c r="L41" i="6"/>
  <c r="H41" i="6"/>
  <c r="D41" i="6"/>
  <c r="C47" i="6"/>
  <c r="U41" i="6"/>
  <c r="Q41" i="6"/>
  <c r="M41" i="6"/>
  <c r="I41" i="6"/>
  <c r="E41" i="6"/>
  <c r="T35" i="6"/>
  <c r="P35" i="6"/>
  <c r="L35" i="6"/>
  <c r="H35" i="6"/>
  <c r="D35" i="6"/>
  <c r="S41" i="6"/>
  <c r="O41" i="6"/>
  <c r="K41" i="6"/>
  <c r="G41" i="6"/>
  <c r="C41" i="6"/>
  <c r="B14" i="6" l="1"/>
  <c r="B26" i="87"/>
  <c r="B21" i="6" s="1"/>
  <c r="B39" i="8" a="1"/>
  <c r="B39" i="8" s="1"/>
  <c r="B33" i="8" a="1"/>
  <c r="B33" i="8" s="1"/>
  <c r="B28" i="8" a="1"/>
  <c r="B28" i="8" s="1"/>
  <c r="D89" i="15" a="1"/>
  <c r="D89" i="15" s="1"/>
  <c r="Z144" i="15" a="1"/>
  <c r="Z144" i="15" s="1"/>
  <c r="D144" i="15" a="1"/>
  <c r="D144" i="15" s="1"/>
  <c r="E11" i="76"/>
  <c r="E10" i="76"/>
  <c r="E9" i="76"/>
  <c r="E8" i="76"/>
  <c r="E7" i="76"/>
  <c r="E6" i="76"/>
  <c r="Z115" i="15" a="1"/>
  <c r="Z115" i="15" s="1"/>
  <c r="D115" i="15" a="1"/>
  <c r="D115" i="15" s="1"/>
  <c r="D11" i="76"/>
  <c r="F11" i="76"/>
  <c r="G11" i="76"/>
  <c r="W8" i="93" l="1"/>
  <c r="S8" i="93"/>
  <c r="O8" i="93"/>
  <c r="K8" i="93"/>
  <c r="G8" i="93"/>
  <c r="P8" i="93"/>
  <c r="H8" i="93"/>
  <c r="V8" i="93"/>
  <c r="R8" i="93"/>
  <c r="N8" i="93"/>
  <c r="J8" i="93"/>
  <c r="F8" i="93"/>
  <c r="L8" i="93"/>
  <c r="D8" i="93"/>
  <c r="U8" i="93"/>
  <c r="Q8" i="93"/>
  <c r="M8" i="93"/>
  <c r="I8" i="93"/>
  <c r="E8" i="93"/>
  <c r="T8" i="93"/>
  <c r="W9" i="93"/>
  <c r="S9" i="93"/>
  <c r="O9" i="93"/>
  <c r="K9" i="93"/>
  <c r="G9" i="93"/>
  <c r="P9" i="93"/>
  <c r="H9" i="93"/>
  <c r="V9" i="93"/>
  <c r="R9" i="93"/>
  <c r="N9" i="93"/>
  <c r="J9" i="93"/>
  <c r="F9" i="93"/>
  <c r="L9" i="93"/>
  <c r="D9" i="93"/>
  <c r="U9" i="93"/>
  <c r="Q9" i="93"/>
  <c r="M9" i="93"/>
  <c r="I9" i="93"/>
  <c r="E9" i="93"/>
  <c r="T9" i="93"/>
  <c r="W7" i="93"/>
  <c r="S7" i="93"/>
  <c r="O7" i="93"/>
  <c r="K7" i="93"/>
  <c r="G7" i="93"/>
  <c r="E7" i="93"/>
  <c r="P7" i="93"/>
  <c r="H7" i="93"/>
  <c r="V7" i="93"/>
  <c r="R7" i="93"/>
  <c r="N7" i="93"/>
  <c r="J7" i="93"/>
  <c r="F7" i="93"/>
  <c r="I7" i="93"/>
  <c r="L7" i="93"/>
  <c r="U7" i="93"/>
  <c r="Q7" i="93"/>
  <c r="M7" i="93"/>
  <c r="T7" i="93"/>
  <c r="D7" i="93"/>
  <c r="C50" i="87"/>
  <c r="C44" i="6" s="1"/>
  <c r="C49" i="87"/>
  <c r="C43" i="6" s="1"/>
  <c r="C48" i="87"/>
  <c r="C42" i="6" s="1"/>
  <c r="B43" i="87"/>
  <c r="B38" i="6" s="1"/>
  <c r="B41" i="87"/>
  <c r="B36" i="6" s="1"/>
  <c r="B42" i="87"/>
  <c r="B37" i="6" s="1"/>
  <c r="C36" i="87"/>
  <c r="C31" i="6" s="1"/>
  <c r="C35" i="87"/>
  <c r="C30" i="6" s="1"/>
  <c r="C34" i="87"/>
  <c r="C29" i="6" s="1"/>
  <c r="C43" i="87"/>
  <c r="C38" i="6" s="1"/>
  <c r="C42" i="87"/>
  <c r="C37" i="6" s="1"/>
  <c r="C41" i="87"/>
  <c r="C36" i="6" s="1"/>
  <c r="E43" i="87"/>
  <c r="E42" i="87"/>
  <c r="E41" i="87"/>
  <c r="C57" i="87"/>
  <c r="C50" i="6" s="1"/>
  <c r="C56" i="87"/>
  <c r="C49" i="6" s="1"/>
  <c r="C55" i="87"/>
  <c r="C48" i="6" s="1"/>
  <c r="D43" i="87"/>
  <c r="D38" i="6" s="1"/>
  <c r="D42" i="87"/>
  <c r="D37" i="6" s="1"/>
  <c r="D41" i="87"/>
  <c r="D36" i="6" s="1"/>
  <c r="C21" i="87"/>
  <c r="C20" i="87"/>
  <c r="C22" i="87"/>
  <c r="C14" i="87"/>
  <c r="C9" i="6" s="1"/>
  <c r="C10" i="6"/>
  <c r="D10" i="76"/>
  <c r="D9" i="76"/>
  <c r="D8" i="76"/>
  <c r="D7" i="76"/>
  <c r="Z64" i="15" a="1"/>
  <c r="Z64" i="15" s="1"/>
  <c r="Z156" i="15" a="1"/>
  <c r="Z156" i="15" s="1"/>
  <c r="Z129" i="15" a="1"/>
  <c r="Z129" i="15" s="1"/>
  <c r="Z102" i="15" a="1"/>
  <c r="Z102" i="15" s="1"/>
  <c r="G10" i="76"/>
  <c r="G9" i="76"/>
  <c r="G8" i="76"/>
  <c r="G7" i="76"/>
  <c r="G6" i="76"/>
  <c r="F10" i="76"/>
  <c r="F9" i="76"/>
  <c r="F8" i="76"/>
  <c r="F6" i="76"/>
  <c r="D6" i="76"/>
  <c r="F7" i="76"/>
  <c r="B25" i="35"/>
  <c r="B26" i="35"/>
  <c r="D3" i="41" a="1"/>
  <c r="D3" i="41" s="1"/>
  <c r="F4" i="41"/>
  <c r="G4" i="41"/>
  <c r="H4" i="41"/>
  <c r="I4" i="41"/>
  <c r="J4" i="41"/>
  <c r="K4" i="41"/>
  <c r="L4" i="41"/>
  <c r="M4" i="41"/>
  <c r="N4" i="41"/>
  <c r="O4" i="41"/>
  <c r="P4" i="41"/>
  <c r="Q4" i="41"/>
  <c r="R4" i="41"/>
  <c r="S4" i="41"/>
  <c r="T4" i="41"/>
  <c r="U4" i="41"/>
  <c r="V4" i="41"/>
  <c r="W4" i="41"/>
  <c r="C15" i="6" l="1"/>
  <c r="C27" i="87"/>
  <c r="C22" i="6" s="1"/>
  <c r="C16" i="6"/>
  <c r="C28" i="87"/>
  <c r="C23" i="6" s="1"/>
  <c r="C17" i="6"/>
  <c r="C29" i="87"/>
  <c r="C24" i="6" s="1"/>
  <c r="F41" i="87"/>
  <c r="E36" i="6"/>
  <c r="F42" i="87"/>
  <c r="E37" i="6"/>
  <c r="F43" i="87"/>
  <c r="E38" i="6"/>
  <c r="D22" i="87"/>
  <c r="D14" i="87"/>
  <c r="D9" i="6" s="1"/>
  <c r="D20" i="87"/>
  <c r="D13" i="87"/>
  <c r="D8" i="6" s="1"/>
  <c r="D15" i="87"/>
  <c r="D10" i="6" s="1"/>
  <c r="D21" i="87"/>
  <c r="E15" i="87"/>
  <c r="E21" i="87"/>
  <c r="E28" i="87" s="1"/>
  <c r="E23" i="6" s="1"/>
  <c r="E13" i="87"/>
  <c r="E22" i="87"/>
  <c r="E29" i="87" s="1"/>
  <c r="E24" i="6" s="1"/>
  <c r="E20" i="87"/>
  <c r="E27" i="87" s="1"/>
  <c r="E22" i="6" s="1"/>
  <c r="E14" i="87"/>
  <c r="D50" i="87"/>
  <c r="D44" i="6" s="1"/>
  <c r="D49" i="87"/>
  <c r="D43" i="6" s="1"/>
  <c r="D48" i="87"/>
  <c r="D42" i="6" s="1"/>
  <c r="E35" i="87"/>
  <c r="E36" i="87"/>
  <c r="E34" i="87"/>
  <c r="B36" i="87"/>
  <c r="B31" i="6" s="1"/>
  <c r="B34" i="87"/>
  <c r="B29" i="6" s="1"/>
  <c r="B35" i="87"/>
  <c r="B30" i="6" s="1"/>
  <c r="D36" i="87"/>
  <c r="D31" i="6" s="1"/>
  <c r="D35" i="87"/>
  <c r="D30" i="6" s="1"/>
  <c r="D34" i="87"/>
  <c r="D29" i="6" s="1"/>
  <c r="D57" i="87"/>
  <c r="D50" i="6" s="1"/>
  <c r="D56" i="87"/>
  <c r="D49" i="6" s="1"/>
  <c r="D55" i="87"/>
  <c r="D48" i="6" s="1"/>
  <c r="E49" i="87"/>
  <c r="E48" i="87"/>
  <c r="E50" i="87"/>
  <c r="B50" i="87"/>
  <c r="B44" i="6" s="1"/>
  <c r="B49" i="87"/>
  <c r="B43" i="6" s="1"/>
  <c r="B48" i="87"/>
  <c r="B42" i="6" s="1"/>
  <c r="E56" i="87"/>
  <c r="E57" i="87"/>
  <c r="E55" i="87"/>
  <c r="B57" i="87"/>
  <c r="B50" i="6" s="1"/>
  <c r="B56" i="87"/>
  <c r="B49" i="6" s="1"/>
  <c r="B55" i="87"/>
  <c r="B48" i="6" s="1"/>
  <c r="B22" i="87"/>
  <c r="B21" i="87"/>
  <c r="B20" i="87"/>
  <c r="B15" i="87"/>
  <c r="B10" i="6" s="1"/>
  <c r="B14" i="87"/>
  <c r="B9" i="6" s="1"/>
  <c r="B8" i="6"/>
  <c r="A38" i="41" a="1"/>
  <c r="A38" i="41" s="1"/>
  <c r="A15" i="41" a="1"/>
  <c r="A15" i="41" s="1"/>
  <c r="A8" i="3" a="1"/>
  <c r="A8" i="3" s="1"/>
  <c r="F16" i="41" l="1"/>
  <c r="G15" i="41"/>
  <c r="F15" i="41"/>
  <c r="D15" i="6"/>
  <c r="D27" i="87"/>
  <c r="D22" i="6" s="1"/>
  <c r="B15" i="6"/>
  <c r="B27" i="87"/>
  <c r="B22" i="6" s="1"/>
  <c r="D16" i="6"/>
  <c r="D28" i="87"/>
  <c r="D23" i="6" s="1"/>
  <c r="D17" i="6"/>
  <c r="D29" i="87"/>
  <c r="D24" i="6" s="1"/>
  <c r="B16" i="6"/>
  <c r="B28" i="87"/>
  <c r="B23" i="6" s="1"/>
  <c r="B17" i="6"/>
  <c r="B29" i="87"/>
  <c r="B24" i="6" s="1"/>
  <c r="F56" i="87"/>
  <c r="E49" i="6"/>
  <c r="F35" i="87"/>
  <c r="E30" i="6"/>
  <c r="F14" i="87"/>
  <c r="E9" i="6"/>
  <c r="F21" i="87"/>
  <c r="F28" i="87" s="1"/>
  <c r="F23" i="6" s="1"/>
  <c r="E16" i="6"/>
  <c r="F55" i="87"/>
  <c r="E48" i="6"/>
  <c r="F48" i="87"/>
  <c r="E42" i="6"/>
  <c r="F34" i="87"/>
  <c r="E29" i="6"/>
  <c r="F22" i="87"/>
  <c r="F29" i="87" s="1"/>
  <c r="F24" i="6" s="1"/>
  <c r="E17" i="6"/>
  <c r="F57" i="87"/>
  <c r="E50" i="6"/>
  <c r="F49" i="87"/>
  <c r="E43" i="6"/>
  <c r="F36" i="87"/>
  <c r="E31" i="6"/>
  <c r="F13" i="87"/>
  <c r="E8" i="6"/>
  <c r="G42" i="87"/>
  <c r="F37" i="6"/>
  <c r="F50" i="87"/>
  <c r="E44" i="6"/>
  <c r="F20" i="87"/>
  <c r="F27" i="87" s="1"/>
  <c r="F22" i="6" s="1"/>
  <c r="E15" i="6"/>
  <c r="F15" i="87"/>
  <c r="E10" i="6"/>
  <c r="G43" i="87"/>
  <c r="F38" i="6"/>
  <c r="G41" i="87"/>
  <c r="F36" i="6"/>
  <c r="B16" i="35"/>
  <c r="B17" i="35"/>
  <c r="B18" i="35"/>
  <c r="B19" i="35"/>
  <c r="B20" i="35"/>
  <c r="B21" i="35"/>
  <c r="B22" i="35"/>
  <c r="B23" i="35"/>
  <c r="B24" i="35"/>
  <c r="B27" i="35"/>
  <c r="B28" i="35"/>
  <c r="B29" i="35"/>
  <c r="B30" i="35"/>
  <c r="B15" i="35"/>
  <c r="D156" i="15" a="1"/>
  <c r="D156" i="15" s="1"/>
  <c r="D129" i="15" a="1"/>
  <c r="D129" i="15" s="1"/>
  <c r="D64" i="15" a="1"/>
  <c r="D64" i="15" s="1"/>
  <c r="G50" i="87" l="1"/>
  <c r="F44" i="6"/>
  <c r="G22" i="87"/>
  <c r="G29" i="87" s="1"/>
  <c r="G24" i="6" s="1"/>
  <c r="F17" i="6"/>
  <c r="G35" i="87"/>
  <c r="F30" i="6"/>
  <c r="G36" i="6"/>
  <c r="H41" i="87"/>
  <c r="G15" i="87"/>
  <c r="F10" i="6"/>
  <c r="G13" i="87"/>
  <c r="F8" i="6"/>
  <c r="G49" i="87"/>
  <c r="F43" i="6"/>
  <c r="G48" i="87"/>
  <c r="F42" i="6"/>
  <c r="G21" i="87"/>
  <c r="G28" i="87" s="1"/>
  <c r="G23" i="6" s="1"/>
  <c r="F16" i="6"/>
  <c r="G38" i="6"/>
  <c r="H43" i="87"/>
  <c r="G20" i="87"/>
  <c r="G27" i="87" s="1"/>
  <c r="G22" i="6" s="1"/>
  <c r="F15" i="6"/>
  <c r="G37" i="6"/>
  <c r="H42" i="87"/>
  <c r="G36" i="87"/>
  <c r="F31" i="6"/>
  <c r="G57" i="87"/>
  <c r="F50" i="6"/>
  <c r="G34" i="87"/>
  <c r="F29" i="6"/>
  <c r="G55" i="87"/>
  <c r="F48" i="6"/>
  <c r="G14" i="87"/>
  <c r="F9" i="6"/>
  <c r="G56" i="87"/>
  <c r="F49" i="6"/>
  <c r="A40" i="15" a="1"/>
  <c r="A40" i="15" s="1"/>
  <c r="A42" i="35" a="1"/>
  <c r="A42" i="35" s="1"/>
  <c r="H15" i="41" l="1"/>
  <c r="I15" i="41"/>
  <c r="H37" i="6"/>
  <c r="I42" i="87"/>
  <c r="H36" i="6"/>
  <c r="I41" i="87"/>
  <c r="G49" i="6"/>
  <c r="H56" i="87"/>
  <c r="G50" i="6"/>
  <c r="H57" i="87"/>
  <c r="G8" i="6"/>
  <c r="H13" i="87"/>
  <c r="H38" i="6"/>
  <c r="I43" i="87"/>
  <c r="G48" i="6"/>
  <c r="H55" i="87"/>
  <c r="G42" i="6"/>
  <c r="H48" i="87"/>
  <c r="G17" i="6"/>
  <c r="H22" i="87"/>
  <c r="H29" i="87" s="1"/>
  <c r="H24" i="6" s="1"/>
  <c r="G9" i="6"/>
  <c r="H14" i="87"/>
  <c r="G29" i="6"/>
  <c r="H34" i="87"/>
  <c r="G31" i="6"/>
  <c r="H36" i="87"/>
  <c r="G15" i="6"/>
  <c r="H20" i="87"/>
  <c r="H27" i="87" s="1"/>
  <c r="H22" i="6" s="1"/>
  <c r="G16" i="6"/>
  <c r="H21" i="87"/>
  <c r="H28" i="87" s="1"/>
  <c r="H23" i="6" s="1"/>
  <c r="G43" i="6"/>
  <c r="H49" i="87"/>
  <c r="G10" i="6"/>
  <c r="H15" i="87"/>
  <c r="G30" i="6"/>
  <c r="H35" i="87"/>
  <c r="G44" i="6"/>
  <c r="H50" i="87"/>
  <c r="A12" i="6"/>
  <c r="A66" i="15" s="1"/>
  <c r="A5" i="6"/>
  <c r="A65" i="15" s="1"/>
  <c r="A55" i="87" a="1"/>
  <c r="A55" i="87" s="1"/>
  <c r="A48" i="6" s="1"/>
  <c r="A48" i="87" a="1"/>
  <c r="A48" i="87" s="1"/>
  <c r="A42" i="6" s="1"/>
  <c r="A20" i="87" a="1"/>
  <c r="A29" i="87" s="1"/>
  <c r="A24" i="6" s="1"/>
  <c r="A52" i="87"/>
  <c r="A46" i="6" s="1"/>
  <c r="A71" i="15" s="1"/>
  <c r="A45" i="87"/>
  <c r="A40" i="6" s="1"/>
  <c r="A70" i="15" s="1"/>
  <c r="A41" i="87" a="1"/>
  <c r="A41" i="87" s="1"/>
  <c r="A36" i="6" s="1"/>
  <c r="A34" i="87" a="1"/>
  <c r="A34" i="87" s="1"/>
  <c r="A29" i="6" s="1"/>
  <c r="A38" i="87"/>
  <c r="A33" i="6" s="1"/>
  <c r="A69" i="15" s="1"/>
  <c r="A31" i="87"/>
  <c r="A26" i="6" s="1"/>
  <c r="A68" i="15" s="1"/>
  <c r="B12" i="87" a="1"/>
  <c r="A4" i="87" a="1"/>
  <c r="A4" i="87" s="1"/>
  <c r="A13" i="87" a="1"/>
  <c r="A13" i="87" s="1"/>
  <c r="A8" i="6" s="1"/>
  <c r="A20" i="87" l="1"/>
  <c r="A28" i="87"/>
  <c r="A23" i="6" s="1"/>
  <c r="J15" i="41"/>
  <c r="H44" i="6"/>
  <c r="I50" i="87"/>
  <c r="H16" i="6"/>
  <c r="I21" i="87"/>
  <c r="I28" i="87" s="1"/>
  <c r="I23" i="6" s="1"/>
  <c r="H9" i="6"/>
  <c r="I14" i="87"/>
  <c r="H42" i="6"/>
  <c r="I48" i="87"/>
  <c r="H50" i="6"/>
  <c r="I57" i="87"/>
  <c r="H30" i="6"/>
  <c r="I35" i="87"/>
  <c r="H43" i="6"/>
  <c r="I49" i="87"/>
  <c r="H15" i="6"/>
  <c r="I20" i="87"/>
  <c r="I27" i="87" s="1"/>
  <c r="I22" i="6" s="1"/>
  <c r="H29" i="6"/>
  <c r="I34" i="87"/>
  <c r="H17" i="6"/>
  <c r="I22" i="87"/>
  <c r="I29" i="87" s="1"/>
  <c r="I24" i="6" s="1"/>
  <c r="H48" i="6"/>
  <c r="I55" i="87"/>
  <c r="H8" i="6"/>
  <c r="I13" i="87"/>
  <c r="H49" i="6"/>
  <c r="I56" i="87"/>
  <c r="I37" i="6"/>
  <c r="J42" i="87"/>
  <c r="H10" i="6"/>
  <c r="I15" i="87"/>
  <c r="H31" i="6"/>
  <c r="I36" i="87"/>
  <c r="I38" i="6"/>
  <c r="J43" i="87"/>
  <c r="I36" i="6"/>
  <c r="J41" i="87"/>
  <c r="C7" i="6"/>
  <c r="G7" i="6"/>
  <c r="K7" i="6"/>
  <c r="O7" i="6"/>
  <c r="S7" i="6"/>
  <c r="E7" i="6"/>
  <c r="I7" i="6"/>
  <c r="Q7" i="6"/>
  <c r="J7" i="6"/>
  <c r="R7" i="6"/>
  <c r="D7" i="6"/>
  <c r="H7" i="6"/>
  <c r="L7" i="6"/>
  <c r="P7" i="6"/>
  <c r="T7" i="6"/>
  <c r="M7" i="6"/>
  <c r="U7" i="6"/>
  <c r="F7" i="6"/>
  <c r="N7" i="6"/>
  <c r="B12" i="87"/>
  <c r="B7" i="6" s="1"/>
  <c r="A43" i="6"/>
  <c r="A90" i="15" a="1"/>
  <c r="A90" i="15" s="1"/>
  <c r="A145" i="15" a="1"/>
  <c r="A145" i="15" s="1"/>
  <c r="A116" i="15" a="1"/>
  <c r="A116" i="15" s="1"/>
  <c r="A49" i="6"/>
  <c r="A37" i="6"/>
  <c r="A16" i="6"/>
  <c r="A157" i="15" a="1"/>
  <c r="A157" i="15" s="1"/>
  <c r="A130" i="15" a="1"/>
  <c r="A130" i="15" s="1"/>
  <c r="A103" i="15" a="1"/>
  <c r="A103" i="15" s="1"/>
  <c r="A79" i="15" a="1"/>
  <c r="A79" i="15" s="1"/>
  <c r="A31" i="6"/>
  <c r="A10" i="6"/>
  <c r="A30" i="6"/>
  <c r="K68" i="15" s="1"/>
  <c r="A9" i="6"/>
  <c r="A50" i="6"/>
  <c r="A38" i="6"/>
  <c r="A17" i="6"/>
  <c r="A44" i="6"/>
  <c r="D37" i="41" a="1"/>
  <c r="D37" i="41" s="1"/>
  <c r="Z40" i="35" a="1"/>
  <c r="Z7" i="3" a="1"/>
  <c r="Z7" i="3" s="1"/>
  <c r="B8" i="23" a="1"/>
  <c r="B8" i="23" s="1"/>
  <c r="Z40" i="35" l="1"/>
  <c r="F65" i="15"/>
  <c r="D69" i="15"/>
  <c r="E68" i="15"/>
  <c r="G69" i="15"/>
  <c r="F71" i="15"/>
  <c r="D70" i="15"/>
  <c r="D65" i="15"/>
  <c r="A15" i="6"/>
  <c r="G66" i="15" s="1"/>
  <c r="A27" i="87"/>
  <c r="A22" i="6" s="1"/>
  <c r="K15" i="41"/>
  <c r="J37" i="6"/>
  <c r="K42" i="87"/>
  <c r="I17" i="6"/>
  <c r="J22" i="87"/>
  <c r="J29" i="87" s="1"/>
  <c r="J24" i="6" s="1"/>
  <c r="I15" i="6"/>
  <c r="J20" i="87"/>
  <c r="J27" i="87" s="1"/>
  <c r="J22" i="6" s="1"/>
  <c r="I42" i="6"/>
  <c r="J48" i="87"/>
  <c r="G65" i="15"/>
  <c r="G70" i="15"/>
  <c r="J38" i="6"/>
  <c r="K43" i="87"/>
  <c r="I10" i="6"/>
  <c r="J15" i="87"/>
  <c r="I49" i="6"/>
  <c r="J56" i="87"/>
  <c r="I48" i="6"/>
  <c r="J55" i="87"/>
  <c r="I29" i="6"/>
  <c r="J34" i="87"/>
  <c r="I43" i="6"/>
  <c r="J49" i="87"/>
  <c r="I50" i="6"/>
  <c r="J57" i="87"/>
  <c r="I9" i="6"/>
  <c r="J14" i="87"/>
  <c r="I44" i="6"/>
  <c r="J50" i="87"/>
  <c r="J36" i="6"/>
  <c r="K41" i="87"/>
  <c r="I31" i="6"/>
  <c r="J36" i="87"/>
  <c r="I8" i="6"/>
  <c r="J13" i="87"/>
  <c r="I30" i="6"/>
  <c r="J35" i="87"/>
  <c r="I16" i="6"/>
  <c r="J21" i="87"/>
  <c r="J28" i="87" s="1"/>
  <c r="J23" i="6" s="1"/>
  <c r="G71" i="15"/>
  <c r="G68" i="15"/>
  <c r="D68" i="15"/>
  <c r="F70" i="15"/>
  <c r="F69" i="15"/>
  <c r="E71" i="15"/>
  <c r="F68" i="15"/>
  <c r="H69" i="15"/>
  <c r="E65" i="15"/>
  <c r="E70" i="15"/>
  <c r="E69" i="15"/>
  <c r="D71" i="15"/>
  <c r="I69" i="15"/>
  <c r="H68" i="15"/>
  <c r="H65" i="15"/>
  <c r="H70" i="15"/>
  <c r="H71" i="15"/>
  <c r="G170" i="15" l="1"/>
  <c r="E66" i="15"/>
  <c r="E170" i="15" s="1"/>
  <c r="E67" i="15"/>
  <c r="F67" i="15"/>
  <c r="K67" i="15"/>
  <c r="D67" i="15"/>
  <c r="G67" i="15"/>
  <c r="L67" i="15"/>
  <c r="I67" i="15"/>
  <c r="H67" i="15"/>
  <c r="J67" i="15"/>
  <c r="F66" i="15"/>
  <c r="F170" i="15" s="1"/>
  <c r="H66" i="15"/>
  <c r="H170" i="15" s="1"/>
  <c r="D66" i="15"/>
  <c r="D170" i="15" s="1"/>
  <c r="L15" i="41"/>
  <c r="J43" i="6"/>
  <c r="K49" i="87"/>
  <c r="J48" i="6"/>
  <c r="K55" i="87"/>
  <c r="J10" i="6"/>
  <c r="K15" i="87"/>
  <c r="J42" i="6"/>
  <c r="K48" i="87"/>
  <c r="J44" i="6"/>
  <c r="K50" i="87"/>
  <c r="J50" i="6"/>
  <c r="K57" i="87"/>
  <c r="J29" i="6"/>
  <c r="K34" i="87"/>
  <c r="J49" i="6"/>
  <c r="K56" i="87"/>
  <c r="K38" i="6"/>
  <c r="L43" i="87"/>
  <c r="J15" i="6"/>
  <c r="K20" i="87"/>
  <c r="K27" i="87" s="1"/>
  <c r="K22" i="6" s="1"/>
  <c r="K37" i="6"/>
  <c r="L42" i="87"/>
  <c r="J9" i="6"/>
  <c r="K14" i="87"/>
  <c r="J17" i="6"/>
  <c r="K22" i="87"/>
  <c r="K29" i="87" s="1"/>
  <c r="K24" i="6" s="1"/>
  <c r="M67" i="15" s="1"/>
  <c r="J30" i="6"/>
  <c r="K35" i="87"/>
  <c r="J31" i="6"/>
  <c r="K36" i="87"/>
  <c r="J16" i="6"/>
  <c r="K21" i="87"/>
  <c r="K28" i="87" s="1"/>
  <c r="K23" i="6" s="1"/>
  <c r="J8" i="6"/>
  <c r="K13" i="87"/>
  <c r="K36" i="6"/>
  <c r="L41" i="87"/>
  <c r="I66" i="15"/>
  <c r="I170" i="15" s="1"/>
  <c r="I65" i="15"/>
  <c r="I71" i="15"/>
  <c r="I70" i="15"/>
  <c r="I68" i="15"/>
  <c r="J69" i="15"/>
  <c r="H27" i="8"/>
  <c r="I27" i="8"/>
  <c r="J27" i="8"/>
  <c r="K27" i="8"/>
  <c r="L27" i="8"/>
  <c r="M27" i="8"/>
  <c r="N27" i="8"/>
  <c r="O27" i="8"/>
  <c r="P27" i="8"/>
  <c r="Q27" i="8"/>
  <c r="R27" i="8"/>
  <c r="S27" i="8"/>
  <c r="T27" i="8"/>
  <c r="U27" i="8"/>
  <c r="V27" i="8"/>
  <c r="W27" i="8"/>
  <c r="X27" i="8"/>
  <c r="Y27" i="8"/>
  <c r="Z27" i="8"/>
  <c r="AA27" i="8"/>
  <c r="H14" i="8"/>
  <c r="I14" i="8"/>
  <c r="J14" i="8"/>
  <c r="K14" i="8"/>
  <c r="L14" i="8"/>
  <c r="M14" i="8"/>
  <c r="N14" i="8"/>
  <c r="O14" i="8"/>
  <c r="P14" i="8"/>
  <c r="Q14" i="8"/>
  <c r="R14" i="8"/>
  <c r="S14" i="8"/>
  <c r="T14" i="8"/>
  <c r="U14" i="8"/>
  <c r="V14" i="8"/>
  <c r="W14" i="8"/>
  <c r="X14" i="8"/>
  <c r="Y14" i="8"/>
  <c r="Z14" i="8"/>
  <c r="AA14" i="8"/>
  <c r="L36" i="6" l="1"/>
  <c r="M41" i="87"/>
  <c r="K30" i="6"/>
  <c r="L35" i="87"/>
  <c r="K15" i="6"/>
  <c r="L20" i="87"/>
  <c r="L27" i="87" s="1"/>
  <c r="L22" i="6" s="1"/>
  <c r="K42" i="6"/>
  <c r="L48" i="87"/>
  <c r="K8" i="6"/>
  <c r="L13" i="87"/>
  <c r="K31" i="6"/>
  <c r="L36" i="87"/>
  <c r="K17" i="6"/>
  <c r="L22" i="87"/>
  <c r="L29" i="87" s="1"/>
  <c r="L24" i="6" s="1"/>
  <c r="N67" i="15" s="1"/>
  <c r="L37" i="6"/>
  <c r="M42" i="87"/>
  <c r="L38" i="6"/>
  <c r="M43" i="87"/>
  <c r="K29" i="6"/>
  <c r="L34" i="87"/>
  <c r="K44" i="6"/>
  <c r="L50" i="87"/>
  <c r="K10" i="6"/>
  <c r="L15" i="87"/>
  <c r="K43" i="6"/>
  <c r="L49" i="87"/>
  <c r="K16" i="6"/>
  <c r="L21" i="87"/>
  <c r="L28" i="87" s="1"/>
  <c r="L23" i="6" s="1"/>
  <c r="K9" i="6"/>
  <c r="L14" i="87"/>
  <c r="K49" i="6"/>
  <c r="L56" i="87"/>
  <c r="K50" i="6"/>
  <c r="L57" i="87"/>
  <c r="K48" i="6"/>
  <c r="L55" i="87"/>
  <c r="J68" i="15"/>
  <c r="J71" i="15"/>
  <c r="J65" i="15"/>
  <c r="K69" i="15"/>
  <c r="J70" i="15"/>
  <c r="J66" i="15"/>
  <c r="J170" i="15" s="1"/>
  <c r="AA38" i="8"/>
  <c r="AA32" i="8"/>
  <c r="S38" i="8"/>
  <c r="S32" i="8"/>
  <c r="K38" i="8"/>
  <c r="K32" i="8"/>
  <c r="Z32" i="8"/>
  <c r="Z38" i="8"/>
  <c r="V32" i="8"/>
  <c r="V38" i="8"/>
  <c r="R38" i="8"/>
  <c r="R32" i="8"/>
  <c r="N38" i="8"/>
  <c r="N32" i="8"/>
  <c r="J38" i="8"/>
  <c r="J32" i="8"/>
  <c r="W38" i="8"/>
  <c r="W32" i="8"/>
  <c r="O38" i="8"/>
  <c r="O32" i="8"/>
  <c r="Y38" i="8"/>
  <c r="Y32" i="8"/>
  <c r="U38" i="8"/>
  <c r="U32" i="8"/>
  <c r="Q38" i="8"/>
  <c r="Q32" i="8"/>
  <c r="M38" i="8"/>
  <c r="M32" i="8"/>
  <c r="I38" i="8"/>
  <c r="I32" i="8"/>
  <c r="X38" i="8"/>
  <c r="X32" i="8"/>
  <c r="T38" i="8"/>
  <c r="T32" i="8"/>
  <c r="P38" i="8"/>
  <c r="P32" i="8"/>
  <c r="L38" i="8"/>
  <c r="L32" i="8"/>
  <c r="H38" i="8"/>
  <c r="H32" i="8"/>
  <c r="M20" i="41" l="1"/>
  <c r="M23" i="41"/>
  <c r="M17" i="41"/>
  <c r="M22" i="41"/>
  <c r="M21" i="41"/>
  <c r="M15" i="41"/>
  <c r="M28" i="41"/>
  <c r="M27" i="41"/>
  <c r="M18" i="41"/>
  <c r="M24" i="41"/>
  <c r="M19" i="41"/>
  <c r="L48" i="6"/>
  <c r="M55" i="87"/>
  <c r="L16" i="6"/>
  <c r="M21" i="87"/>
  <c r="M28" i="87" s="1"/>
  <c r="M23" i="6" s="1"/>
  <c r="L29" i="6"/>
  <c r="M34" i="87"/>
  <c r="M37" i="6"/>
  <c r="N42" i="87"/>
  <c r="L31" i="6"/>
  <c r="M36" i="87"/>
  <c r="L30" i="6"/>
  <c r="M35" i="87"/>
  <c r="L50" i="6"/>
  <c r="M57" i="87"/>
  <c r="L9" i="6"/>
  <c r="M14" i="87"/>
  <c r="L43" i="6"/>
  <c r="M49" i="87"/>
  <c r="L44" i="6"/>
  <c r="M50" i="87"/>
  <c r="M38" i="6"/>
  <c r="N43" i="87"/>
  <c r="L17" i="6"/>
  <c r="M22" i="87"/>
  <c r="M29" i="87" s="1"/>
  <c r="M24" i="6" s="1"/>
  <c r="O67" i="15" s="1"/>
  <c r="L8" i="6"/>
  <c r="M13" i="87"/>
  <c r="L15" i="6"/>
  <c r="M20" i="87"/>
  <c r="M27" i="87" s="1"/>
  <c r="M22" i="6" s="1"/>
  <c r="M36" i="6"/>
  <c r="N41" i="87"/>
  <c r="L49" i="6"/>
  <c r="M56" i="87"/>
  <c r="L10" i="6"/>
  <c r="M15" i="87"/>
  <c r="L42" i="6"/>
  <c r="M48" i="87"/>
  <c r="K66" i="15"/>
  <c r="L69" i="15"/>
  <c r="K65" i="15"/>
  <c r="K71" i="15"/>
  <c r="K70" i="15"/>
  <c r="K170" i="15" l="1"/>
  <c r="E24" i="41"/>
  <c r="F24" i="41"/>
  <c r="G24" i="41"/>
  <c r="H24" i="41"/>
  <c r="I24" i="41"/>
  <c r="J24" i="41"/>
  <c r="K24" i="41"/>
  <c r="L24" i="41"/>
  <c r="E16" i="41"/>
  <c r="G16" i="41"/>
  <c r="H16" i="41"/>
  <c r="I16" i="41"/>
  <c r="J16" i="41"/>
  <c r="K16" i="41"/>
  <c r="L16" i="41"/>
  <c r="E21" i="41"/>
  <c r="F21" i="41"/>
  <c r="G21" i="41"/>
  <c r="H21" i="41"/>
  <c r="I21" i="41"/>
  <c r="J21" i="41"/>
  <c r="K21" i="41"/>
  <c r="L21" i="41"/>
  <c r="E25" i="41"/>
  <c r="F25" i="41"/>
  <c r="G25" i="41"/>
  <c r="H25" i="41"/>
  <c r="I25" i="41"/>
  <c r="J25" i="41"/>
  <c r="K25" i="41"/>
  <c r="L25" i="41"/>
  <c r="E26" i="41"/>
  <c r="F26" i="41"/>
  <c r="G26" i="41"/>
  <c r="H26" i="41"/>
  <c r="I26" i="41"/>
  <c r="J26" i="41"/>
  <c r="K26" i="41"/>
  <c r="L26" i="41"/>
  <c r="E22" i="41"/>
  <c r="F22" i="41"/>
  <c r="G22" i="41"/>
  <c r="H22" i="41"/>
  <c r="I22" i="41"/>
  <c r="J22" i="41"/>
  <c r="K22" i="41"/>
  <c r="L22" i="41"/>
  <c r="M16" i="41"/>
  <c r="E18" i="41"/>
  <c r="F18" i="41"/>
  <c r="G18" i="41"/>
  <c r="H18" i="41"/>
  <c r="I18" i="41"/>
  <c r="J18" i="41"/>
  <c r="K18" i="41"/>
  <c r="L18" i="41"/>
  <c r="E30" i="41"/>
  <c r="F30" i="41"/>
  <c r="G30" i="41"/>
  <c r="H30" i="41"/>
  <c r="I30" i="41"/>
  <c r="J30" i="41"/>
  <c r="K30" i="41"/>
  <c r="L30" i="41"/>
  <c r="M25" i="41"/>
  <c r="E29" i="41"/>
  <c r="F29" i="41"/>
  <c r="G29" i="41"/>
  <c r="H29" i="41"/>
  <c r="I29" i="41"/>
  <c r="J29" i="41"/>
  <c r="K29" i="41"/>
  <c r="L29" i="41"/>
  <c r="M30" i="41"/>
  <c r="E27" i="41"/>
  <c r="F27" i="41"/>
  <c r="G27" i="41"/>
  <c r="H27" i="41"/>
  <c r="I27" i="41"/>
  <c r="J27" i="41"/>
  <c r="K27" i="41"/>
  <c r="L27" i="41"/>
  <c r="E17" i="41"/>
  <c r="F17" i="41"/>
  <c r="G17" i="41"/>
  <c r="H17" i="41"/>
  <c r="I17" i="41"/>
  <c r="J17" i="41"/>
  <c r="K17" i="41"/>
  <c r="L17" i="41"/>
  <c r="F19" i="41"/>
  <c r="G19" i="41"/>
  <c r="H19" i="41"/>
  <c r="I19" i="41"/>
  <c r="J19" i="41"/>
  <c r="K19" i="41"/>
  <c r="L19" i="41"/>
  <c r="E23" i="41"/>
  <c r="F23" i="41"/>
  <c r="G23" i="41"/>
  <c r="H23" i="41"/>
  <c r="I23" i="41"/>
  <c r="J23" i="41"/>
  <c r="K23" i="41"/>
  <c r="L23" i="41"/>
  <c r="M29" i="41"/>
  <c r="M26" i="41"/>
  <c r="E28" i="41"/>
  <c r="F28" i="41"/>
  <c r="G28" i="41"/>
  <c r="H28" i="41"/>
  <c r="I28" i="41"/>
  <c r="J28" i="41"/>
  <c r="K28" i="41"/>
  <c r="L28" i="41"/>
  <c r="E20" i="41"/>
  <c r="F20" i="41"/>
  <c r="G20" i="41"/>
  <c r="H20" i="41"/>
  <c r="I20" i="41"/>
  <c r="J20" i="41"/>
  <c r="K20" i="41"/>
  <c r="L20" i="41"/>
  <c r="N15" i="41"/>
  <c r="N17" i="41"/>
  <c r="N19" i="41"/>
  <c r="N21" i="41"/>
  <c r="N23" i="41"/>
  <c r="N25" i="41"/>
  <c r="N27" i="41"/>
  <c r="N29" i="41"/>
  <c r="N16" i="41"/>
  <c r="N18" i="41"/>
  <c r="N20" i="41"/>
  <c r="N22" i="41"/>
  <c r="N24" i="41"/>
  <c r="N26" i="41"/>
  <c r="N28" i="41"/>
  <c r="N30" i="41"/>
  <c r="M17" i="6"/>
  <c r="N22" i="87"/>
  <c r="N29" i="87" s="1"/>
  <c r="N24" i="6" s="1"/>
  <c r="P67" i="15" s="1"/>
  <c r="M10" i="6"/>
  <c r="N15" i="87"/>
  <c r="N36" i="6"/>
  <c r="O41" i="87"/>
  <c r="M8" i="6"/>
  <c r="N13" i="87"/>
  <c r="N38" i="6"/>
  <c r="O43" i="87"/>
  <c r="M43" i="6"/>
  <c r="N49" i="87"/>
  <c r="M50" i="6"/>
  <c r="N57" i="87"/>
  <c r="M31" i="6"/>
  <c r="N36" i="87"/>
  <c r="M29" i="6"/>
  <c r="N34" i="87"/>
  <c r="M48" i="6"/>
  <c r="N55" i="87"/>
  <c r="M42" i="6"/>
  <c r="N48" i="87"/>
  <c r="M49" i="6"/>
  <c r="N56" i="87"/>
  <c r="M15" i="6"/>
  <c r="N20" i="87"/>
  <c r="N27" i="87" s="1"/>
  <c r="N22" i="6" s="1"/>
  <c r="M44" i="6"/>
  <c r="N50" i="87"/>
  <c r="M9" i="6"/>
  <c r="N14" i="87"/>
  <c r="M30" i="6"/>
  <c r="N35" i="87"/>
  <c r="N37" i="6"/>
  <c r="O42" i="87"/>
  <c r="M16" i="6"/>
  <c r="N21" i="87"/>
  <c r="N28" i="87" s="1"/>
  <c r="N23" i="6" s="1"/>
  <c r="L71" i="15"/>
  <c r="L66" i="15"/>
  <c r="L70" i="15"/>
  <c r="L65" i="15"/>
  <c r="M69" i="15"/>
  <c r="M32" i="41" l="1"/>
  <c r="L32" i="41"/>
  <c r="H32" i="41"/>
  <c r="N32" i="41"/>
  <c r="K32" i="41"/>
  <c r="G32" i="41"/>
  <c r="J32" i="41"/>
  <c r="E32" i="41"/>
  <c r="F32" i="41"/>
  <c r="I32" i="41"/>
  <c r="O16" i="41"/>
  <c r="O15" i="41"/>
  <c r="O17" i="41"/>
  <c r="O19" i="41"/>
  <c r="O21" i="41"/>
  <c r="O23" i="41"/>
  <c r="O25" i="41"/>
  <c r="O27" i="41"/>
  <c r="O29" i="41"/>
  <c r="O18" i="41"/>
  <c r="O20" i="41"/>
  <c r="O24" i="41"/>
  <c r="O26" i="41"/>
  <c r="O28" i="41"/>
  <c r="O22" i="41"/>
  <c r="O30" i="41"/>
  <c r="N16" i="6"/>
  <c r="O21" i="87"/>
  <c r="O28" i="87" s="1"/>
  <c r="O23" i="6" s="1"/>
  <c r="N44" i="6"/>
  <c r="O50" i="87"/>
  <c r="N48" i="6"/>
  <c r="O55" i="87"/>
  <c r="N43" i="6"/>
  <c r="O49" i="87"/>
  <c r="N8" i="6"/>
  <c r="O13" i="87"/>
  <c r="O37" i="6"/>
  <c r="P42" i="87"/>
  <c r="N9" i="6"/>
  <c r="O14" i="87"/>
  <c r="N15" i="6"/>
  <c r="O20" i="87"/>
  <c r="O27" i="87" s="1"/>
  <c r="O22" i="6" s="1"/>
  <c r="N42" i="6"/>
  <c r="O48" i="87"/>
  <c r="N29" i="6"/>
  <c r="O34" i="87"/>
  <c r="N50" i="6"/>
  <c r="O57" i="87"/>
  <c r="O38" i="6"/>
  <c r="P43" i="87"/>
  <c r="O36" i="6"/>
  <c r="P41" i="87"/>
  <c r="N17" i="6"/>
  <c r="O22" i="87"/>
  <c r="O29" i="87" s="1"/>
  <c r="O24" i="6" s="1"/>
  <c r="Q67" i="15" s="1"/>
  <c r="N30" i="6"/>
  <c r="O35" i="87"/>
  <c r="N49" i="6"/>
  <c r="O56" i="87"/>
  <c r="N31" i="6"/>
  <c r="O36" i="87"/>
  <c r="N10" i="6"/>
  <c r="O15" i="87"/>
  <c r="L170" i="15"/>
  <c r="M65" i="15"/>
  <c r="M71" i="15"/>
  <c r="L68" i="15"/>
  <c r="N69" i="15"/>
  <c r="M70" i="15"/>
  <c r="M66" i="15"/>
  <c r="B19" i="1"/>
  <c r="J57" i="8"/>
  <c r="O34" i="8" s="1"/>
  <c r="J59" i="8"/>
  <c r="O40" i="8" s="1"/>
  <c r="F59" i="8"/>
  <c r="N40" i="8" s="1"/>
  <c r="B59" i="8"/>
  <c r="M40" i="8" s="1"/>
  <c r="B57" i="8"/>
  <c r="M34" i="8" s="1"/>
  <c r="F57" i="8"/>
  <c r="N34" i="8" s="1"/>
  <c r="J55" i="8"/>
  <c r="O29" i="8" s="1"/>
  <c r="F55" i="8"/>
  <c r="N29" i="8" s="1"/>
  <c r="B55" i="8"/>
  <c r="M29" i="8" s="1"/>
  <c r="L19" i="8"/>
  <c r="L18" i="8"/>
  <c r="L17" i="8"/>
  <c r="L16" i="8"/>
  <c r="L15" i="8"/>
  <c r="A9" i="5" a="1"/>
  <c r="A9" i="5" s="1"/>
  <c r="B20" i="1"/>
  <c r="A20" i="1"/>
  <c r="A19" i="1"/>
  <c r="O32" i="41" l="1"/>
  <c r="M39" i="8"/>
  <c r="M41" i="8"/>
  <c r="O28" i="8"/>
  <c r="O30" i="8"/>
  <c r="N39" i="8"/>
  <c r="N41" i="8"/>
  <c r="N28" i="8"/>
  <c r="N30" i="8"/>
  <c r="N35" i="8"/>
  <c r="N33" i="8"/>
  <c r="O39" i="8"/>
  <c r="O41" i="8"/>
  <c r="M28" i="8"/>
  <c r="M30" i="8"/>
  <c r="M33" i="8"/>
  <c r="M35" i="8"/>
  <c r="O33" i="8"/>
  <c r="O35" i="8"/>
  <c r="P16" i="41"/>
  <c r="P18" i="41"/>
  <c r="P20" i="41"/>
  <c r="P22" i="41"/>
  <c r="P24" i="41"/>
  <c r="P26" i="41"/>
  <c r="P28" i="41"/>
  <c r="P30" i="41"/>
  <c r="P15" i="41"/>
  <c r="P17" i="41"/>
  <c r="P19" i="41"/>
  <c r="P21" i="41"/>
  <c r="P23" i="41"/>
  <c r="P25" i="41"/>
  <c r="P27" i="41"/>
  <c r="P29" i="41"/>
  <c r="O49" i="6"/>
  <c r="P56" i="87"/>
  <c r="P38" i="6"/>
  <c r="Q43" i="87"/>
  <c r="O29" i="6"/>
  <c r="P34" i="87"/>
  <c r="P37" i="6"/>
  <c r="Q42" i="87"/>
  <c r="O43" i="6"/>
  <c r="P49" i="87"/>
  <c r="O44" i="6"/>
  <c r="P50" i="87"/>
  <c r="O31" i="6"/>
  <c r="P36" i="87"/>
  <c r="O30" i="6"/>
  <c r="P35" i="87"/>
  <c r="P36" i="6"/>
  <c r="Q41" i="87"/>
  <c r="O50" i="6"/>
  <c r="P57" i="87"/>
  <c r="O42" i="6"/>
  <c r="P48" i="87"/>
  <c r="O9" i="6"/>
  <c r="P14" i="87"/>
  <c r="O8" i="6"/>
  <c r="P13" i="87"/>
  <c r="O48" i="6"/>
  <c r="P55" i="87"/>
  <c r="O16" i="6"/>
  <c r="P21" i="87"/>
  <c r="P28" i="87" s="1"/>
  <c r="P23" i="6" s="1"/>
  <c r="O10" i="6"/>
  <c r="P15" i="87"/>
  <c r="O17" i="6"/>
  <c r="P22" i="87"/>
  <c r="P29" i="87" s="1"/>
  <c r="P24" i="6" s="1"/>
  <c r="R67" i="15" s="1"/>
  <c r="O15" i="6"/>
  <c r="P20" i="87"/>
  <c r="P27" i="87" s="1"/>
  <c r="P22" i="6" s="1"/>
  <c r="N65" i="15"/>
  <c r="M170" i="15"/>
  <c r="M68" i="15"/>
  <c r="N66" i="15"/>
  <c r="N70" i="15"/>
  <c r="O69" i="15"/>
  <c r="N71" i="15"/>
  <c r="D7" i="41" a="1"/>
  <c r="G8" i="41" s="1"/>
  <c r="C45" i="8"/>
  <c r="C46" i="8" s="1"/>
  <c r="C43" i="8"/>
  <c r="C44" i="8" s="1"/>
  <c r="C47" i="8"/>
  <c r="C48" i="8" s="1"/>
  <c r="P32" i="41" l="1"/>
  <c r="I8" i="41"/>
  <c r="J8" i="41" s="1"/>
  <c r="K8" i="41" s="1"/>
  <c r="L8" i="41" s="1"/>
  <c r="M8" i="41" s="1"/>
  <c r="N8" i="41" s="1"/>
  <c r="O8" i="41" s="1"/>
  <c r="P8" i="41" s="1"/>
  <c r="Q8" i="41" s="1"/>
  <c r="R8" i="41" s="1"/>
  <c r="S8" i="41" s="1"/>
  <c r="T8" i="41" s="1"/>
  <c r="U8" i="41" s="1"/>
  <c r="V8" i="41" s="1"/>
  <c r="W8" i="41" s="1"/>
  <c r="P34" i="8"/>
  <c r="P33" i="8" s="1"/>
  <c r="Q16" i="41"/>
  <c r="Q18" i="41"/>
  <c r="Q20" i="41"/>
  <c r="Q22" i="41"/>
  <c r="Q24" i="41"/>
  <c r="Q26" i="41"/>
  <c r="Q28" i="41"/>
  <c r="Q30" i="41"/>
  <c r="Q15" i="41"/>
  <c r="Q17" i="41"/>
  <c r="Q19" i="41"/>
  <c r="Q23" i="41"/>
  <c r="Q25" i="41"/>
  <c r="Q27" i="41"/>
  <c r="Q21" i="41"/>
  <c r="Q29" i="41"/>
  <c r="P15" i="6"/>
  <c r="Q20" i="87"/>
  <c r="Q27" i="87" s="1"/>
  <c r="Q22" i="6" s="1"/>
  <c r="P48" i="6"/>
  <c r="Q55" i="87"/>
  <c r="P30" i="6"/>
  <c r="Q35" i="87"/>
  <c r="P17" i="6"/>
  <c r="Q22" i="87"/>
  <c r="Q29" i="87" s="1"/>
  <c r="Q24" i="6" s="1"/>
  <c r="S67" i="15" s="1"/>
  <c r="P16" i="6"/>
  <c r="Q21" i="87"/>
  <c r="Q28" i="87" s="1"/>
  <c r="Q23" i="6" s="1"/>
  <c r="P8" i="6"/>
  <c r="Q13" i="87"/>
  <c r="P42" i="6"/>
  <c r="Q48" i="87"/>
  <c r="Q36" i="6"/>
  <c r="R41" i="87"/>
  <c r="P31" i="6"/>
  <c r="Q36" i="87"/>
  <c r="P43" i="6"/>
  <c r="Q49" i="87"/>
  <c r="P29" i="6"/>
  <c r="Q34" i="87"/>
  <c r="P49" i="6"/>
  <c r="Q56" i="87"/>
  <c r="P10" i="6"/>
  <c r="Q15" i="87"/>
  <c r="P9" i="6"/>
  <c r="Q14" i="87"/>
  <c r="P50" i="6"/>
  <c r="Q57" i="87"/>
  <c r="P44" i="6"/>
  <c r="Q50" i="87"/>
  <c r="Q37" i="6"/>
  <c r="R42" i="87"/>
  <c r="Q38" i="6"/>
  <c r="R43" i="87"/>
  <c r="N170" i="15"/>
  <c r="O70" i="15"/>
  <c r="O71" i="15"/>
  <c r="P69" i="15"/>
  <c r="O66" i="15"/>
  <c r="N68" i="15"/>
  <c r="O65" i="15"/>
  <c r="P29" i="8"/>
  <c r="Q29" i="8" s="1"/>
  <c r="P40" i="8"/>
  <c r="Q40" i="8" s="1"/>
  <c r="D7" i="41"/>
  <c r="Q34" i="8"/>
  <c r="Q32" i="41" l="1"/>
  <c r="P35" i="8"/>
  <c r="S69" i="15"/>
  <c r="Q39" i="8"/>
  <c r="Q41" i="8"/>
  <c r="P41" i="8"/>
  <c r="P39" i="8"/>
  <c r="Q30" i="8"/>
  <c r="Q28" i="8"/>
  <c r="Q35" i="8"/>
  <c r="Q33" i="8"/>
  <c r="P30" i="8"/>
  <c r="P28" i="8"/>
  <c r="R15" i="41"/>
  <c r="R17" i="41"/>
  <c r="R19" i="41"/>
  <c r="R21" i="41"/>
  <c r="R23" i="41"/>
  <c r="R25" i="41"/>
  <c r="R27" i="41"/>
  <c r="R29" i="41"/>
  <c r="R16" i="41"/>
  <c r="R18" i="41"/>
  <c r="R20" i="41"/>
  <c r="R22" i="41"/>
  <c r="R24" i="41"/>
  <c r="R26" i="41"/>
  <c r="R28" i="41"/>
  <c r="R30" i="41"/>
  <c r="R38" i="6"/>
  <c r="S43" i="87"/>
  <c r="Q9" i="6"/>
  <c r="R14" i="87"/>
  <c r="Q43" i="6"/>
  <c r="R49" i="87"/>
  <c r="Q8" i="6"/>
  <c r="R13" i="87"/>
  <c r="Q17" i="6"/>
  <c r="R22" i="87"/>
  <c r="R29" i="87" s="1"/>
  <c r="R24" i="6" s="1"/>
  <c r="T67" i="15" s="1"/>
  <c r="R37" i="6"/>
  <c r="S42" i="87"/>
  <c r="Q50" i="6"/>
  <c r="R57" i="87"/>
  <c r="Q10" i="6"/>
  <c r="R15" i="87"/>
  <c r="Q29" i="6"/>
  <c r="R34" i="87"/>
  <c r="Q31" i="6"/>
  <c r="R36" i="87"/>
  <c r="Q42" i="6"/>
  <c r="R48" i="87"/>
  <c r="Q16" i="6"/>
  <c r="R21" i="87"/>
  <c r="R28" i="87" s="1"/>
  <c r="R23" i="6" s="1"/>
  <c r="Q30" i="6"/>
  <c r="S68" i="15" s="1"/>
  <c r="R35" i="87"/>
  <c r="Q15" i="6"/>
  <c r="R20" i="87"/>
  <c r="R27" i="87" s="1"/>
  <c r="R22" i="6" s="1"/>
  <c r="Q44" i="6"/>
  <c r="R50" i="87"/>
  <c r="Q49" i="6"/>
  <c r="R56" i="87"/>
  <c r="R36" i="6"/>
  <c r="S41" i="87"/>
  <c r="Q48" i="6"/>
  <c r="R55" i="87"/>
  <c r="O170" i="15"/>
  <c r="P66" i="15"/>
  <c r="P71" i="15"/>
  <c r="P70" i="15"/>
  <c r="O68" i="15"/>
  <c r="P65" i="15"/>
  <c r="Q69" i="15"/>
  <c r="P68" i="15"/>
  <c r="R34" i="8"/>
  <c r="R40" i="8"/>
  <c r="R29" i="8"/>
  <c r="D78" i="15" a="1"/>
  <c r="D78" i="15" s="1"/>
  <c r="Z78" i="15" a="1"/>
  <c r="Z78" i="15" s="1"/>
  <c r="D14" i="35" a="1"/>
  <c r="D14" i="35" s="1"/>
  <c r="D14" i="41" a="1"/>
  <c r="D14" i="41" s="1"/>
  <c r="Z8" i="5" a="1"/>
  <c r="Z8" i="5" s="1"/>
  <c r="D7" i="3" a="1"/>
  <c r="D7" i="3" s="1"/>
  <c r="D41" i="35" a="1"/>
  <c r="D41" i="35" s="1"/>
  <c r="D8" i="5" a="1"/>
  <c r="D8" i="5" s="1"/>
  <c r="Z41" i="35" a="1"/>
  <c r="Z41" i="35" s="1"/>
  <c r="D169" i="15" a="1"/>
  <c r="D169" i="15" s="1"/>
  <c r="D102" i="15" a="1"/>
  <c r="D102" i="15" s="1"/>
  <c r="Z14" i="35" a="1"/>
  <c r="Z14" i="35" s="1"/>
  <c r="R32" i="41" l="1"/>
  <c r="T69" i="15"/>
  <c r="S65" i="15"/>
  <c r="S70" i="15"/>
  <c r="S66" i="15"/>
  <c r="S71" i="15"/>
  <c r="R35" i="8"/>
  <c r="R33" i="8"/>
  <c r="R28" i="8"/>
  <c r="R30" i="8"/>
  <c r="R39" i="8"/>
  <c r="R41" i="8"/>
  <c r="S18" i="41"/>
  <c r="S15" i="41"/>
  <c r="S17" i="41"/>
  <c r="S19" i="41"/>
  <c r="S21" i="41"/>
  <c r="S23" i="41"/>
  <c r="S25" i="41"/>
  <c r="S27" i="41"/>
  <c r="S29" i="41"/>
  <c r="S16" i="41"/>
  <c r="S20" i="41"/>
  <c r="S22" i="41"/>
  <c r="S30" i="41"/>
  <c r="S24" i="41"/>
  <c r="S26" i="41"/>
  <c r="S28" i="41"/>
  <c r="R49" i="6"/>
  <c r="S56" i="87"/>
  <c r="R16" i="6"/>
  <c r="S21" i="87"/>
  <c r="S28" i="87" s="1"/>
  <c r="S23" i="6" s="1"/>
  <c r="R10" i="6"/>
  <c r="S15" i="87"/>
  <c r="S37" i="6"/>
  <c r="T42" i="87"/>
  <c r="R9" i="6"/>
  <c r="S14" i="87"/>
  <c r="S36" i="6"/>
  <c r="T41" i="87"/>
  <c r="R44" i="6"/>
  <c r="S50" i="87"/>
  <c r="R30" i="6"/>
  <c r="S35" i="87"/>
  <c r="R42" i="6"/>
  <c r="S48" i="87"/>
  <c r="R29" i="6"/>
  <c r="S34" i="87"/>
  <c r="R50" i="6"/>
  <c r="S57" i="87"/>
  <c r="R17" i="6"/>
  <c r="S22" i="87"/>
  <c r="S29" i="87" s="1"/>
  <c r="S24" i="6" s="1"/>
  <c r="U67" i="15" s="1"/>
  <c r="R43" i="6"/>
  <c r="T70" i="15" s="1"/>
  <c r="S49" i="87"/>
  <c r="S38" i="6"/>
  <c r="T43" i="87"/>
  <c r="R48" i="6"/>
  <c r="S55" i="87"/>
  <c r="R15" i="6"/>
  <c r="S20" i="87"/>
  <c r="S27" i="87" s="1"/>
  <c r="S22" i="6" s="1"/>
  <c r="R31" i="6"/>
  <c r="S36" i="87"/>
  <c r="R8" i="6"/>
  <c r="S13" i="87"/>
  <c r="P170" i="15"/>
  <c r="Q65" i="15"/>
  <c r="Q66" i="15"/>
  <c r="Q68" i="15"/>
  <c r="Q70" i="15"/>
  <c r="Q71" i="15"/>
  <c r="S34" i="8"/>
  <c r="S40" i="8"/>
  <c r="S29" i="8"/>
  <c r="S32" i="41" l="1"/>
  <c r="T66" i="15"/>
  <c r="T170" i="15" s="1"/>
  <c r="S170" i="15"/>
  <c r="T71" i="15"/>
  <c r="T65" i="15"/>
  <c r="T68" i="15"/>
  <c r="U69" i="15"/>
  <c r="S30" i="8"/>
  <c r="S28" i="8"/>
  <c r="S35" i="8"/>
  <c r="S33" i="8"/>
  <c r="S41" i="8"/>
  <c r="S39" i="8"/>
  <c r="T16" i="41"/>
  <c r="T18" i="41"/>
  <c r="T20" i="41"/>
  <c r="T22" i="41"/>
  <c r="T24" i="41"/>
  <c r="T26" i="41"/>
  <c r="T28" i="41"/>
  <c r="T30" i="41"/>
  <c r="T15" i="41"/>
  <c r="T17" i="41"/>
  <c r="T19" i="41"/>
  <c r="T21" i="41"/>
  <c r="T23" i="41"/>
  <c r="T25" i="41"/>
  <c r="T27" i="41"/>
  <c r="T29" i="41"/>
  <c r="S8" i="6"/>
  <c r="T13" i="87"/>
  <c r="T38" i="6"/>
  <c r="U43" i="87"/>
  <c r="U38" i="6" s="1"/>
  <c r="S30" i="6"/>
  <c r="T35" i="87"/>
  <c r="T37" i="6"/>
  <c r="U42" i="87"/>
  <c r="U37" i="6" s="1"/>
  <c r="S31" i="6"/>
  <c r="T36" i="87"/>
  <c r="S48" i="6"/>
  <c r="T55" i="87"/>
  <c r="S43" i="6"/>
  <c r="T49" i="87"/>
  <c r="S50" i="6"/>
  <c r="T57" i="87"/>
  <c r="S42" i="6"/>
  <c r="T48" i="87"/>
  <c r="S44" i="6"/>
  <c r="T50" i="87"/>
  <c r="S9" i="6"/>
  <c r="T14" i="87"/>
  <c r="S10" i="6"/>
  <c r="T15" i="87"/>
  <c r="S49" i="6"/>
  <c r="U71" i="15" s="1"/>
  <c r="T56" i="87"/>
  <c r="S15" i="6"/>
  <c r="T20" i="87"/>
  <c r="T27" i="87" s="1"/>
  <c r="T22" i="6" s="1"/>
  <c r="S17" i="6"/>
  <c r="T22" i="87"/>
  <c r="T29" i="87" s="1"/>
  <c r="T24" i="6" s="1"/>
  <c r="V67" i="15" s="1"/>
  <c r="S29" i="6"/>
  <c r="T34" i="87"/>
  <c r="T36" i="6"/>
  <c r="U41" i="87"/>
  <c r="S16" i="6"/>
  <c r="T21" i="87"/>
  <c r="T28" i="87" s="1"/>
  <c r="T23" i="6" s="1"/>
  <c r="Q170" i="15"/>
  <c r="T34" i="8"/>
  <c r="T40" i="8"/>
  <c r="T29" i="8"/>
  <c r="T32" i="41" l="1"/>
  <c r="U66" i="15"/>
  <c r="U65" i="15"/>
  <c r="U70" i="15"/>
  <c r="U68" i="15"/>
  <c r="V69" i="15"/>
  <c r="T41" i="8"/>
  <c r="T39" i="8"/>
  <c r="T33" i="8"/>
  <c r="T35" i="8"/>
  <c r="T30" i="8"/>
  <c r="T28" i="8"/>
  <c r="U15" i="41"/>
  <c r="U17" i="41"/>
  <c r="U19" i="41"/>
  <c r="U16" i="41"/>
  <c r="U18" i="41"/>
  <c r="U20" i="41"/>
  <c r="U22" i="41"/>
  <c r="U24" i="41"/>
  <c r="U26" i="41"/>
  <c r="U28" i="41"/>
  <c r="U30" i="41"/>
  <c r="U21" i="41"/>
  <c r="U29" i="41"/>
  <c r="U27" i="41"/>
  <c r="U23" i="41"/>
  <c r="U25" i="41"/>
  <c r="T16" i="6"/>
  <c r="U21" i="87"/>
  <c r="T29" i="6"/>
  <c r="U34" i="87"/>
  <c r="T15" i="6"/>
  <c r="U20" i="87"/>
  <c r="U27" i="87" s="1"/>
  <c r="U22" i="6" s="1"/>
  <c r="T10" i="6"/>
  <c r="U15" i="87"/>
  <c r="U10" i="6" s="1"/>
  <c r="T44" i="6"/>
  <c r="U50" i="87"/>
  <c r="U44" i="6" s="1"/>
  <c r="T50" i="6"/>
  <c r="U57" i="87"/>
  <c r="U50" i="6" s="1"/>
  <c r="T48" i="6"/>
  <c r="U55" i="87"/>
  <c r="R69" i="15"/>
  <c r="U36" i="6"/>
  <c r="W69" i="15" s="1"/>
  <c r="T17" i="6"/>
  <c r="U22" i="87"/>
  <c r="T49" i="6"/>
  <c r="U56" i="87"/>
  <c r="U49" i="6" s="1"/>
  <c r="T9" i="6"/>
  <c r="U14" i="87"/>
  <c r="U9" i="6" s="1"/>
  <c r="T42" i="6"/>
  <c r="U48" i="87"/>
  <c r="T43" i="6"/>
  <c r="U49" i="87"/>
  <c r="U43" i="6" s="1"/>
  <c r="T31" i="6"/>
  <c r="U36" i="87"/>
  <c r="U31" i="6" s="1"/>
  <c r="T30" i="6"/>
  <c r="U35" i="87"/>
  <c r="U30" i="6" s="1"/>
  <c r="T8" i="6"/>
  <c r="U13" i="87"/>
  <c r="U34" i="8"/>
  <c r="U40" i="8"/>
  <c r="U29" i="8"/>
  <c r="U32" i="41" l="1"/>
  <c r="U170" i="15"/>
  <c r="U16" i="6"/>
  <c r="U28" i="87"/>
  <c r="U23" i="6" s="1"/>
  <c r="U17" i="6"/>
  <c r="U29" i="87"/>
  <c r="U24" i="6" s="1"/>
  <c r="W67" i="15" s="1"/>
  <c r="V68" i="15"/>
  <c r="V65" i="15"/>
  <c r="V70" i="15"/>
  <c r="V71" i="15"/>
  <c r="V66" i="15"/>
  <c r="W68" i="15"/>
  <c r="U33" i="8"/>
  <c r="U35" i="8"/>
  <c r="U41" i="8"/>
  <c r="U39" i="8"/>
  <c r="U30" i="8"/>
  <c r="U28" i="8"/>
  <c r="V15" i="41"/>
  <c r="V17" i="41"/>
  <c r="V19" i="41"/>
  <c r="V21" i="41"/>
  <c r="V23" i="41"/>
  <c r="V25" i="41"/>
  <c r="V27" i="41"/>
  <c r="V29" i="41"/>
  <c r="V16" i="41"/>
  <c r="V18" i="41"/>
  <c r="V20" i="41"/>
  <c r="V22" i="41"/>
  <c r="V24" i="41"/>
  <c r="V26" i="41"/>
  <c r="V28" i="41"/>
  <c r="V30" i="41"/>
  <c r="R68" i="15"/>
  <c r="U29" i="6"/>
  <c r="R71" i="15"/>
  <c r="U48" i="6"/>
  <c r="W71" i="15" s="1"/>
  <c r="R66" i="15"/>
  <c r="U15" i="6"/>
  <c r="W66" i="15" s="1"/>
  <c r="R65" i="15"/>
  <c r="U8" i="6"/>
  <c r="W65" i="15" s="1"/>
  <c r="R70" i="15"/>
  <c r="U42" i="6"/>
  <c r="W70" i="15" s="1"/>
  <c r="V34" i="8"/>
  <c r="V40" i="8"/>
  <c r="V29" i="8"/>
  <c r="V32" i="41" l="1"/>
  <c r="V170" i="15"/>
  <c r="W170" i="15"/>
  <c r="E14" i="95" s="1" a="1"/>
  <c r="E14" i="95" s="1"/>
  <c r="E15" i="95" s="1" a="1"/>
  <c r="E15" i="95" s="1"/>
  <c r="V39" i="8"/>
  <c r="V41" i="8"/>
  <c r="V28" i="8"/>
  <c r="V30" i="8"/>
  <c r="V35" i="8"/>
  <c r="V33" i="8"/>
  <c r="W15" i="41"/>
  <c r="W17" i="41"/>
  <c r="W19" i="41"/>
  <c r="W21" i="41"/>
  <c r="W23" i="41"/>
  <c r="W25" i="41"/>
  <c r="W27" i="41"/>
  <c r="W29" i="41"/>
  <c r="W16" i="41"/>
  <c r="W18" i="41"/>
  <c r="W28" i="41"/>
  <c r="W20" i="41"/>
  <c r="W22" i="41"/>
  <c r="W30" i="41"/>
  <c r="W26" i="41"/>
  <c r="W24" i="41"/>
  <c r="R170" i="15"/>
  <c r="W40" i="8"/>
  <c r="W34" i="8"/>
  <c r="W29" i="8"/>
  <c r="E26" i="95" l="1" a="1"/>
  <c r="E26" i="95" s="1"/>
  <c r="E27" i="95" a="1"/>
  <c r="E27" i="95" s="1"/>
  <c r="E28" i="95" s="1" a="1"/>
  <c r="E28" i="95" s="1"/>
  <c r="D28" i="95" s="1"/>
  <c r="E13" i="95" a="1"/>
  <c r="E13" i="95" s="1"/>
  <c r="D15" i="95"/>
  <c r="D38" i="41" a="1"/>
  <c r="W32" i="41"/>
  <c r="W39" i="8"/>
  <c r="W41" i="8"/>
  <c r="W28" i="8"/>
  <c r="W30" i="8"/>
  <c r="W33" i="8"/>
  <c r="W35" i="8"/>
  <c r="X40" i="8"/>
  <c r="X34" i="8"/>
  <c r="X29" i="8"/>
  <c r="D38" i="41" l="1"/>
  <c r="D55" i="41" s="1"/>
  <c r="G55" i="41"/>
  <c r="K55" i="41"/>
  <c r="O55" i="41"/>
  <c r="S55" i="41"/>
  <c r="W55" i="41"/>
  <c r="H55" i="41"/>
  <c r="L55" i="41"/>
  <c r="P55" i="41"/>
  <c r="T55" i="41"/>
  <c r="E55" i="41"/>
  <c r="I55" i="41"/>
  <c r="M55" i="41"/>
  <c r="Q55" i="41"/>
  <c r="U55" i="41"/>
  <c r="F55" i="41"/>
  <c r="J55" i="41"/>
  <c r="N55" i="41"/>
  <c r="R55" i="41"/>
  <c r="V55" i="41"/>
  <c r="X41" i="8"/>
  <c r="X39" i="8"/>
  <c r="X30" i="8"/>
  <c r="X28" i="8"/>
  <c r="X33" i="8"/>
  <c r="X35" i="8"/>
  <c r="Y34" i="8"/>
  <c r="Y40" i="8"/>
  <c r="Y29" i="8"/>
  <c r="Y35" i="8" l="1"/>
  <c r="Y33" i="8"/>
  <c r="Y41" i="8"/>
  <c r="Y39" i="8"/>
  <c r="Y30" i="8"/>
  <c r="Y28" i="8"/>
  <c r="Z40" i="8"/>
  <c r="Z34" i="8"/>
  <c r="Z29" i="8"/>
  <c r="Z35" i="8" l="1"/>
  <c r="Z33" i="8"/>
  <c r="Z39" i="8"/>
  <c r="Z41" i="8"/>
  <c r="Z28" i="8"/>
  <c r="Z30" i="8"/>
  <c r="AA34" i="8"/>
  <c r="AA40" i="8"/>
  <c r="AA29" i="8"/>
  <c r="AA39" i="8" l="1"/>
  <c r="AA41" i="8"/>
  <c r="AA30" i="8"/>
  <c r="AA28" i="8"/>
  <c r="AA35" i="8"/>
  <c r="AA33" i="8"/>
  <c r="D79" i="15" l="1" a="1"/>
  <c r="H96" i="15" l="1"/>
  <c r="I96" i="15"/>
  <c r="Q96" i="15"/>
  <c r="L96" i="15"/>
  <c r="J96" i="15"/>
  <c r="R96" i="15"/>
  <c r="D96" i="15"/>
  <c r="O96" i="15"/>
  <c r="K96" i="15"/>
  <c r="S96" i="15"/>
  <c r="T96" i="15"/>
  <c r="V96" i="15"/>
  <c r="P96" i="15"/>
  <c r="E96" i="15"/>
  <c r="M96" i="15"/>
  <c r="U96" i="15"/>
  <c r="F96" i="15"/>
  <c r="N96" i="15"/>
  <c r="G96" i="15"/>
  <c r="W96" i="15"/>
  <c r="D79" i="15"/>
  <c r="E90" i="15"/>
  <c r="M90" i="15"/>
  <c r="U90" i="15"/>
  <c r="J91" i="15"/>
  <c r="R91" i="15"/>
  <c r="G92" i="15"/>
  <c r="O92" i="15"/>
  <c r="W92" i="15"/>
  <c r="L93" i="15"/>
  <c r="T93" i="15"/>
  <c r="I94" i="15"/>
  <c r="Q94" i="15"/>
  <c r="F95" i="15"/>
  <c r="N95" i="15"/>
  <c r="V95" i="15"/>
  <c r="H93" i="15"/>
  <c r="E94" i="15"/>
  <c r="G91" i="15"/>
  <c r="W91" i="15"/>
  <c r="T92" i="15"/>
  <c r="I93" i="15"/>
  <c r="V94" i="15"/>
  <c r="K95" i="15"/>
  <c r="S95" i="15"/>
  <c r="F90" i="15"/>
  <c r="N90" i="15"/>
  <c r="V90" i="15"/>
  <c r="K91" i="15"/>
  <c r="S91" i="15"/>
  <c r="H92" i="15"/>
  <c r="P92" i="15"/>
  <c r="E93" i="15"/>
  <c r="M93" i="15"/>
  <c r="U93" i="15"/>
  <c r="J94" i="15"/>
  <c r="R94" i="15"/>
  <c r="G95" i="15"/>
  <c r="O95" i="15"/>
  <c r="W95" i="15"/>
  <c r="K92" i="15"/>
  <c r="P93" i="15"/>
  <c r="R95" i="15"/>
  <c r="R90" i="15"/>
  <c r="O91" i="15"/>
  <c r="L92" i="15"/>
  <c r="N94" i="15"/>
  <c r="S90" i="15"/>
  <c r="M92" i="15"/>
  <c r="G90" i="15"/>
  <c r="O90" i="15"/>
  <c r="W90" i="15"/>
  <c r="L91" i="15"/>
  <c r="T91" i="15"/>
  <c r="I92" i="15"/>
  <c r="Q92" i="15"/>
  <c r="F93" i="15"/>
  <c r="N93" i="15"/>
  <c r="V93" i="15"/>
  <c r="K94" i="15"/>
  <c r="S94" i="15"/>
  <c r="H95" i="15"/>
  <c r="P95" i="15"/>
  <c r="D92" i="15"/>
  <c r="H90" i="15"/>
  <c r="P90" i="15"/>
  <c r="E91" i="15"/>
  <c r="M91" i="15"/>
  <c r="U91" i="15"/>
  <c r="J92" i="15"/>
  <c r="R92" i="15"/>
  <c r="G93" i="15"/>
  <c r="O93" i="15"/>
  <c r="W93" i="15"/>
  <c r="L94" i="15"/>
  <c r="T94" i="15"/>
  <c r="I95" i="15"/>
  <c r="Q95" i="15"/>
  <c r="D93" i="15"/>
  <c r="I90" i="15"/>
  <c r="Q90" i="15"/>
  <c r="F91" i="15"/>
  <c r="N91" i="15"/>
  <c r="V91" i="15"/>
  <c r="S92" i="15"/>
  <c r="M94" i="15"/>
  <c r="U94" i="15"/>
  <c r="J95" i="15"/>
  <c r="D94" i="15"/>
  <c r="Q93" i="15"/>
  <c r="F94" i="15"/>
  <c r="D95" i="15"/>
  <c r="K90" i="15"/>
  <c r="H91" i="15"/>
  <c r="P91" i="15"/>
  <c r="J90" i="15"/>
  <c r="L90" i="15"/>
  <c r="T90" i="15"/>
  <c r="I91" i="15"/>
  <c r="Q91" i="15"/>
  <c r="F92" i="15"/>
  <c r="N92" i="15"/>
  <c r="V92" i="15"/>
  <c r="K93" i="15"/>
  <c r="S93" i="15"/>
  <c r="H94" i="15"/>
  <c r="P94" i="15"/>
  <c r="E95" i="15"/>
  <c r="M95" i="15"/>
  <c r="U95" i="15"/>
  <c r="E92" i="15"/>
  <c r="U92" i="15"/>
  <c r="O94" i="15"/>
  <c r="W94" i="15"/>
  <c r="R93" i="15"/>
  <c r="G94" i="15"/>
  <c r="D91" i="15"/>
  <c r="J93" i="15"/>
  <c r="L95" i="15"/>
  <c r="T95" i="15"/>
  <c r="D103" i="15" a="1"/>
  <c r="E111" i="15" l="1"/>
  <c r="AA111" i="15" s="1"/>
  <c r="M111" i="15"/>
  <c r="AI111" i="15" s="1"/>
  <c r="U111" i="15"/>
  <c r="AQ111" i="15" s="1"/>
  <c r="F111" i="15"/>
  <c r="AB111" i="15" s="1"/>
  <c r="N111" i="15"/>
  <c r="AJ111" i="15" s="1"/>
  <c r="V111" i="15"/>
  <c r="AR111" i="15" s="1"/>
  <c r="G111" i="15"/>
  <c r="AC111" i="15" s="1"/>
  <c r="O111" i="15"/>
  <c r="AK111" i="15" s="1"/>
  <c r="W111" i="15"/>
  <c r="AS111" i="15" s="1"/>
  <c r="H111" i="15"/>
  <c r="AD111" i="15" s="1"/>
  <c r="P111" i="15"/>
  <c r="AL111" i="15" s="1"/>
  <c r="I111" i="15"/>
  <c r="AE111" i="15" s="1"/>
  <c r="Q111" i="15"/>
  <c r="AM111" i="15" s="1"/>
  <c r="J111" i="15"/>
  <c r="AF111" i="15" s="1"/>
  <c r="R111" i="15"/>
  <c r="AN111" i="15" s="1"/>
  <c r="K111" i="15"/>
  <c r="AG111" i="15" s="1"/>
  <c r="S111" i="15"/>
  <c r="AO111" i="15" s="1"/>
  <c r="L111" i="15"/>
  <c r="T111" i="15"/>
  <c r="AP111" i="15" s="1"/>
  <c r="F116" i="15"/>
  <c r="D122" i="15"/>
  <c r="L122" i="15"/>
  <c r="T122" i="15"/>
  <c r="E122" i="15"/>
  <c r="M122" i="15"/>
  <c r="U122" i="15"/>
  <c r="S122" i="15"/>
  <c r="F122" i="15"/>
  <c r="N122" i="15"/>
  <c r="V122" i="15"/>
  <c r="G122" i="15"/>
  <c r="O122" i="15"/>
  <c r="W122" i="15"/>
  <c r="P122" i="15"/>
  <c r="K122" i="15"/>
  <c r="H122" i="15"/>
  <c r="I122" i="15"/>
  <c r="Q122" i="15"/>
  <c r="J122" i="15"/>
  <c r="R122" i="15"/>
  <c r="D145" i="15" a="1"/>
  <c r="D90" i="15"/>
  <c r="D157" i="15" s="1" a="1"/>
  <c r="D157" i="15" s="1"/>
  <c r="D165" i="15" s="1"/>
  <c r="R116" i="15"/>
  <c r="J117" i="15"/>
  <c r="J116" i="15"/>
  <c r="I117" i="15"/>
  <c r="P116" i="15"/>
  <c r="H116" i="15"/>
  <c r="J118" i="15"/>
  <c r="J121" i="15"/>
  <c r="V117" i="15"/>
  <c r="H121" i="15"/>
  <c r="T117" i="15"/>
  <c r="S117" i="15"/>
  <c r="D117" i="15"/>
  <c r="P117" i="15"/>
  <c r="Q120" i="15"/>
  <c r="W118" i="15"/>
  <c r="K116" i="15"/>
  <c r="P120" i="15"/>
  <c r="V118" i="15"/>
  <c r="S121" i="15"/>
  <c r="H119" i="15"/>
  <c r="N117" i="15"/>
  <c r="Q121" i="15"/>
  <c r="W119" i="15"/>
  <c r="F119" i="15"/>
  <c r="L117" i="15"/>
  <c r="E119" i="15"/>
  <c r="K117" i="15"/>
  <c r="M118" i="15"/>
  <c r="P119" i="15"/>
  <c r="M119" i="15"/>
  <c r="AH111" i="15"/>
  <c r="D120" i="15"/>
  <c r="I120" i="15"/>
  <c r="O118" i="15"/>
  <c r="U116" i="15"/>
  <c r="H120" i="15"/>
  <c r="N118" i="15"/>
  <c r="T116" i="15"/>
  <c r="K121" i="15"/>
  <c r="Q119" i="15"/>
  <c r="W117" i="15"/>
  <c r="O120" i="15"/>
  <c r="F117" i="15"/>
  <c r="I121" i="15"/>
  <c r="O119" i="15"/>
  <c r="U117" i="15"/>
  <c r="U118" i="15"/>
  <c r="D121" i="15"/>
  <c r="G118" i="15"/>
  <c r="M116" i="15"/>
  <c r="F118" i="15"/>
  <c r="L116" i="15"/>
  <c r="I119" i="15"/>
  <c r="O117" i="15"/>
  <c r="U120" i="15"/>
  <c r="G119" i="15"/>
  <c r="M117" i="15"/>
  <c r="E118" i="15"/>
  <c r="S120" i="15"/>
  <c r="H117" i="15"/>
  <c r="R120" i="15"/>
  <c r="L118" i="15"/>
  <c r="P121" i="15"/>
  <c r="V119" i="15"/>
  <c r="U119" i="15"/>
  <c r="D119" i="15"/>
  <c r="N119" i="15"/>
  <c r="G121" i="15"/>
  <c r="D118" i="15"/>
  <c r="V121" i="15"/>
  <c r="E116" i="15"/>
  <c r="U121" i="15"/>
  <c r="L121" i="15"/>
  <c r="G117" i="15"/>
  <c r="S116" i="15"/>
  <c r="M120" i="15"/>
  <c r="S118" i="15"/>
  <c r="E117" i="15"/>
  <c r="K120" i="15"/>
  <c r="Q118" i="15"/>
  <c r="W116" i="15"/>
  <c r="J120" i="15"/>
  <c r="P118" i="15"/>
  <c r="V116" i="15"/>
  <c r="F120" i="15"/>
  <c r="O121" i="15"/>
  <c r="T121" i="15"/>
  <c r="T119" i="15"/>
  <c r="W120" i="15"/>
  <c r="S119" i="15"/>
  <c r="V120" i="15"/>
  <c r="E120" i="15"/>
  <c r="K118" i="15"/>
  <c r="Q116" i="15"/>
  <c r="T120" i="15"/>
  <c r="I118" i="15"/>
  <c r="O116" i="15"/>
  <c r="H118" i="15"/>
  <c r="N116" i="15"/>
  <c r="R121" i="15"/>
  <c r="D103" i="15"/>
  <c r="D111" i="15" s="1"/>
  <c r="N121" i="15"/>
  <c r="M121" i="15"/>
  <c r="J119" i="15"/>
  <c r="G120" i="15"/>
  <c r="F121" i="15"/>
  <c r="L119" i="15"/>
  <c r="R117" i="15"/>
  <c r="R119" i="15"/>
  <c r="E121" i="15"/>
  <c r="K119" i="15"/>
  <c r="Q117" i="15"/>
  <c r="N120" i="15"/>
  <c r="T118" i="15"/>
  <c r="I116" i="15"/>
  <c r="L120" i="15"/>
  <c r="R118" i="15"/>
  <c r="G116" i="15"/>
  <c r="W121" i="15"/>
  <c r="E124" i="15" l="1"/>
  <c r="AA124" i="15" s="1"/>
  <c r="V124" i="15"/>
  <c r="AR124" i="15" s="1"/>
  <c r="S124" i="15"/>
  <c r="AO124" i="15" s="1"/>
  <c r="I124" i="15"/>
  <c r="AE124" i="15" s="1"/>
  <c r="O124" i="15"/>
  <c r="H124" i="15"/>
  <c r="AD124" i="15" s="1"/>
  <c r="W124" i="15"/>
  <c r="AS124" i="15" s="1"/>
  <c r="L124" i="15"/>
  <c r="AH124" i="15" s="1"/>
  <c r="T124" i="15"/>
  <c r="AP124" i="15" s="1"/>
  <c r="P124" i="15"/>
  <c r="AL124" i="15" s="1"/>
  <c r="J124" i="15"/>
  <c r="AF124" i="15" s="1"/>
  <c r="U124" i="15"/>
  <c r="AQ124" i="15" s="1"/>
  <c r="F124" i="15"/>
  <c r="AB124" i="15" s="1"/>
  <c r="Q124" i="15"/>
  <c r="AM124" i="15" s="1"/>
  <c r="M124" i="15"/>
  <c r="AI124" i="15" s="1"/>
  <c r="K124" i="15"/>
  <c r="AG124" i="15" s="1"/>
  <c r="G124" i="15"/>
  <c r="AC124" i="15" s="1"/>
  <c r="R124" i="15"/>
  <c r="AN124" i="15" s="1"/>
  <c r="N124" i="15"/>
  <c r="AJ124" i="15" s="1"/>
  <c r="L165" i="15"/>
  <c r="T165" i="15"/>
  <c r="AP165" i="15" s="1"/>
  <c r="E165" i="15"/>
  <c r="M165" i="15"/>
  <c r="U165" i="15"/>
  <c r="AQ165" i="15" s="1"/>
  <c r="P165" i="15"/>
  <c r="AL165" i="15" s="1"/>
  <c r="F165" i="15"/>
  <c r="N165" i="15"/>
  <c r="AJ165" i="15" s="1"/>
  <c r="V165" i="15"/>
  <c r="AR165" i="15" s="1"/>
  <c r="G165" i="15"/>
  <c r="O165" i="15"/>
  <c r="AK165" i="15" s="1"/>
  <c r="W165" i="15"/>
  <c r="AS165" i="15" s="1"/>
  <c r="H165" i="15"/>
  <c r="I165" i="15"/>
  <c r="Q165" i="15"/>
  <c r="AM165" i="15" s="1"/>
  <c r="K165" i="15"/>
  <c r="J165" i="15"/>
  <c r="R165" i="15"/>
  <c r="AN165" i="15" s="1"/>
  <c r="S165" i="15"/>
  <c r="AO165" i="15" s="1"/>
  <c r="D145" i="15"/>
  <c r="D153" i="15" s="1"/>
  <c r="H153" i="15"/>
  <c r="P153" i="15"/>
  <c r="L153" i="15"/>
  <c r="I153" i="15"/>
  <c r="Q153" i="15"/>
  <c r="J153" i="15"/>
  <c r="R153" i="15"/>
  <c r="K153" i="15"/>
  <c r="S153" i="15"/>
  <c r="T153" i="15"/>
  <c r="E153" i="15"/>
  <c r="M153" i="15"/>
  <c r="U153" i="15"/>
  <c r="G153" i="15"/>
  <c r="O153" i="15"/>
  <c r="F153" i="15"/>
  <c r="N153" i="15"/>
  <c r="V153" i="15"/>
  <c r="W153" i="15"/>
  <c r="AK124" i="15"/>
  <c r="D116" i="15"/>
  <c r="D124" i="15" s="1"/>
  <c r="D17" i="35" a="1"/>
  <c r="D15" i="35" l="1" a="1"/>
  <c r="D15" i="35" s="1"/>
  <c r="D130" i="15" a="1"/>
  <c r="Z124" i="15"/>
  <c r="Z111" i="15"/>
  <c r="Z30" i="35" s="1" a="1"/>
  <c r="D30" i="35" a="1"/>
  <c r="D29" i="35" a="1"/>
  <c r="D18" i="35" a="1"/>
  <c r="Z153" i="15"/>
  <c r="AP153" i="15"/>
  <c r="AH153" i="15"/>
  <c r="AO153" i="15"/>
  <c r="AG153" i="15"/>
  <c r="AN153" i="15"/>
  <c r="AF153" i="15"/>
  <c r="AL153" i="15"/>
  <c r="AI153" i="15"/>
  <c r="AM153" i="15"/>
  <c r="AE153" i="15"/>
  <c r="AD153" i="15"/>
  <c r="AS153" i="15"/>
  <c r="AK153" i="15"/>
  <c r="AC153" i="15"/>
  <c r="AR153" i="15"/>
  <c r="AJ153" i="15"/>
  <c r="AB153" i="15"/>
  <c r="AQ153" i="15"/>
  <c r="AA153" i="15"/>
  <c r="AD165" i="15"/>
  <c r="AE165" i="15"/>
  <c r="AF165" i="15"/>
  <c r="AG165" i="15"/>
  <c r="AH165" i="15"/>
  <c r="AA165" i="15"/>
  <c r="AI165" i="15"/>
  <c r="AB165" i="15"/>
  <c r="AC165" i="15"/>
  <c r="D17" i="35"/>
  <c r="D109" i="35" l="1"/>
  <c r="D42" i="35"/>
  <c r="D44" i="35"/>
  <c r="K66" i="35" s="1"/>
  <c r="D111" i="35"/>
  <c r="Z30" i="35"/>
  <c r="D29" i="35"/>
  <c r="D130" i="15"/>
  <c r="D138" i="15" s="1"/>
  <c r="Z138" i="15" s="1"/>
  <c r="K138" i="15"/>
  <c r="AG138" i="15" s="1"/>
  <c r="S138" i="15"/>
  <c r="AO138" i="15" s="1"/>
  <c r="O138" i="15"/>
  <c r="AK138" i="15" s="1"/>
  <c r="R138" i="15"/>
  <c r="AN138" i="15" s="1"/>
  <c r="L138" i="15"/>
  <c r="AH138" i="15" s="1"/>
  <c r="T138" i="15"/>
  <c r="AP138" i="15" s="1"/>
  <c r="G138" i="15"/>
  <c r="AC138" i="15" s="1"/>
  <c r="E138" i="15"/>
  <c r="AA138" i="15" s="1"/>
  <c r="M138" i="15"/>
  <c r="AI138" i="15" s="1"/>
  <c r="U138" i="15"/>
  <c r="AQ138" i="15" s="1"/>
  <c r="W138" i="15"/>
  <c r="AS138" i="15" s="1"/>
  <c r="F138" i="15"/>
  <c r="AB138" i="15" s="1"/>
  <c r="N138" i="15"/>
  <c r="AJ138" i="15" s="1"/>
  <c r="V138" i="15"/>
  <c r="AR138" i="15" s="1"/>
  <c r="H138" i="15"/>
  <c r="AD138" i="15" s="1"/>
  <c r="P138" i="15"/>
  <c r="AL138" i="15" s="1"/>
  <c r="J138" i="15"/>
  <c r="AF138" i="15" s="1"/>
  <c r="I138" i="15"/>
  <c r="AE138" i="15" s="1"/>
  <c r="Q138" i="15"/>
  <c r="AM138" i="15" s="1"/>
  <c r="Z29" i="35" a="1"/>
  <c r="D18" i="35"/>
  <c r="D30" i="35"/>
  <c r="D57" i="35" s="1"/>
  <c r="K79" i="35" s="1"/>
  <c r="Z17" i="35" a="1"/>
  <c r="Z18" i="35" a="1"/>
  <c r="D27" i="35" a="1"/>
  <c r="Z28" i="35" a="1"/>
  <c r="Z27" i="35" a="1"/>
  <c r="D28" i="35" a="1"/>
  <c r="D26" i="35" a="1"/>
  <c r="D25" i="35" a="1"/>
  <c r="Z165" i="15"/>
  <c r="D16" i="35" a="1"/>
  <c r="Z26" i="35" a="1"/>
  <c r="Z25" i="35" a="1"/>
  <c r="K64" i="35" l="1"/>
  <c r="D86" i="35"/>
  <c r="E42" i="35" s="1"/>
  <c r="L64" i="35" s="1"/>
  <c r="D45" i="35"/>
  <c r="K67" i="35" s="1"/>
  <c r="D112" i="35"/>
  <c r="D124" i="35"/>
  <c r="Z57" i="35"/>
  <c r="Z124" i="35"/>
  <c r="D56" i="35"/>
  <c r="K78" i="35" s="1"/>
  <c r="D123" i="35"/>
  <c r="D88" i="35"/>
  <c r="Z27" i="35"/>
  <c r="Z28" i="35"/>
  <c r="D16" i="35"/>
  <c r="D27" i="35"/>
  <c r="Z20" i="35" a="1"/>
  <c r="Z24" i="35" a="1"/>
  <c r="D21" i="35" a="1"/>
  <c r="D23" i="35" a="1"/>
  <c r="Z21" i="35" a="1"/>
  <c r="Z23" i="35" a="1"/>
  <c r="Z19" i="35" a="1"/>
  <c r="D22" i="35" a="1"/>
  <c r="D24" i="35" a="1"/>
  <c r="D19" i="35" a="1"/>
  <c r="D20" i="35" a="1"/>
  <c r="Z22" i="35" a="1"/>
  <c r="Z29" i="35"/>
  <c r="Z17" i="35"/>
  <c r="Z18" i="35"/>
  <c r="D26" i="35"/>
  <c r="D120" i="35" s="1"/>
  <c r="D28" i="35"/>
  <c r="D25" i="35"/>
  <c r="Z25" i="35"/>
  <c r="Z26" i="35"/>
  <c r="Z16" i="35" a="1"/>
  <c r="Z15" i="35" a="1"/>
  <c r="AV57" i="35" l="1"/>
  <c r="AG79" i="35"/>
  <c r="AV124" i="35"/>
  <c r="Z53" i="35"/>
  <c r="AG75" i="35" s="1"/>
  <c r="Z120" i="35"/>
  <c r="AV120" i="35" s="1"/>
  <c r="D53" i="35"/>
  <c r="K75" i="35" s="1"/>
  <c r="D54" i="35"/>
  <c r="K76" i="35" s="1"/>
  <c r="D121" i="35"/>
  <c r="Z54" i="35"/>
  <c r="AG76" i="35" s="1"/>
  <c r="Z121" i="35"/>
  <c r="Z52" i="35"/>
  <c r="AG74" i="35" s="1"/>
  <c r="Z119" i="35"/>
  <c r="Z45" i="35"/>
  <c r="Z112" i="35"/>
  <c r="AV112" i="35" s="1"/>
  <c r="D100" i="35"/>
  <c r="D101" i="35"/>
  <c r="E57" i="35" s="1"/>
  <c r="L79" i="35" s="1"/>
  <c r="D43" i="35"/>
  <c r="K65" i="35" s="1"/>
  <c r="D110" i="35"/>
  <c r="D52" i="35"/>
  <c r="K74" i="35" s="1"/>
  <c r="D119" i="35"/>
  <c r="Z44" i="35"/>
  <c r="Z111" i="35"/>
  <c r="AV111" i="35" s="1"/>
  <c r="D55" i="35"/>
  <c r="K77" i="35" s="1"/>
  <c r="D122" i="35"/>
  <c r="Z56" i="35"/>
  <c r="Z123" i="35"/>
  <c r="AV123" i="35" s="1"/>
  <c r="Z55" i="35"/>
  <c r="AG77" i="35" s="1"/>
  <c r="Z122" i="35"/>
  <c r="E44" i="35"/>
  <c r="L66" i="35" s="1"/>
  <c r="Z101" i="35"/>
  <c r="D89" i="35"/>
  <c r="Z16" i="35"/>
  <c r="D23" i="35"/>
  <c r="D21" i="35"/>
  <c r="D24" i="35"/>
  <c r="D22" i="35"/>
  <c r="Z19" i="35"/>
  <c r="Z24" i="35"/>
  <c r="Z23" i="35"/>
  <c r="Z20" i="35"/>
  <c r="D19" i="35"/>
  <c r="D46" i="35" s="1"/>
  <c r="D20" i="35"/>
  <c r="Z21" i="35"/>
  <c r="Z22" i="35"/>
  <c r="Z15" i="35"/>
  <c r="AV56" i="35" l="1"/>
  <c r="AG78" i="35"/>
  <c r="AV44" i="35"/>
  <c r="AG66" i="35"/>
  <c r="AV45" i="35"/>
  <c r="AG67" i="35"/>
  <c r="AV54" i="35"/>
  <c r="AV119" i="35"/>
  <c r="AV53" i="35"/>
  <c r="AV122" i="35"/>
  <c r="AV55" i="35"/>
  <c r="AV52" i="35"/>
  <c r="E111" i="35"/>
  <c r="AV121" i="35"/>
  <c r="D47" i="35"/>
  <c r="K69" i="35" s="1"/>
  <c r="D114" i="35"/>
  <c r="D48" i="35"/>
  <c r="K70" i="35" s="1"/>
  <c r="D115" i="35"/>
  <c r="Z43" i="35"/>
  <c r="Z110" i="35"/>
  <c r="AV110" i="35" s="1"/>
  <c r="Z42" i="35"/>
  <c r="Z109" i="35"/>
  <c r="AV109" i="35" s="1"/>
  <c r="K68" i="35"/>
  <c r="D113" i="35"/>
  <c r="Z46" i="35"/>
  <c r="AG68" i="35" s="1"/>
  <c r="Z113" i="35"/>
  <c r="D50" i="35"/>
  <c r="K72" i="35" s="1"/>
  <c r="D117" i="35"/>
  <c r="E45" i="35"/>
  <c r="L67" i="35" s="1"/>
  <c r="Z100" i="35"/>
  <c r="Z88" i="35"/>
  <c r="D87" i="35"/>
  <c r="E56" i="35"/>
  <c r="L78" i="35" s="1"/>
  <c r="Z89" i="35"/>
  <c r="Z98" i="35"/>
  <c r="D97" i="35"/>
  <c r="Z51" i="35"/>
  <c r="AG73" i="35" s="1"/>
  <c r="Z118" i="35"/>
  <c r="E88" i="35"/>
  <c r="Z47" i="35"/>
  <c r="AG69" i="35" s="1"/>
  <c r="Z114" i="35"/>
  <c r="Z49" i="35"/>
  <c r="AG71" i="35" s="1"/>
  <c r="Z116" i="35"/>
  <c r="D49" i="35"/>
  <c r="K71" i="35" s="1"/>
  <c r="D116" i="35"/>
  <c r="Z48" i="35"/>
  <c r="AG70" i="35" s="1"/>
  <c r="Z115" i="35"/>
  <c r="Z50" i="35"/>
  <c r="AG72" i="35" s="1"/>
  <c r="Z117" i="35"/>
  <c r="D51" i="35"/>
  <c r="K73" i="35" s="1"/>
  <c r="D118" i="35"/>
  <c r="AA57" i="35"/>
  <c r="AH79" i="35" s="1"/>
  <c r="Z99" i="35"/>
  <c r="D99" i="35"/>
  <c r="D96" i="35"/>
  <c r="E124" i="35"/>
  <c r="Z96" i="35"/>
  <c r="D98" i="35"/>
  <c r="Z97" i="35"/>
  <c r="AV43" i="35" l="1"/>
  <c r="AG65" i="35"/>
  <c r="AV42" i="35"/>
  <c r="AG64" i="35"/>
  <c r="AV49" i="35"/>
  <c r="AV46" i="35"/>
  <c r="AV118" i="35"/>
  <c r="AV115" i="35"/>
  <c r="AW57" i="35"/>
  <c r="AV50" i="35"/>
  <c r="AV47" i="35"/>
  <c r="AV51" i="35"/>
  <c r="E112" i="35"/>
  <c r="AV48" i="35"/>
  <c r="AV116" i="35"/>
  <c r="E123" i="35"/>
  <c r="AV117" i="35"/>
  <c r="AV113" i="35"/>
  <c r="AV114" i="35"/>
  <c r="AA124" i="35"/>
  <c r="AW124" i="35" s="1"/>
  <c r="AA52" i="35"/>
  <c r="AH74" i="35" s="1"/>
  <c r="Z94" i="35"/>
  <c r="D93" i="35"/>
  <c r="Z91" i="35"/>
  <c r="Z95" i="35"/>
  <c r="AA54" i="35"/>
  <c r="AA44" i="35"/>
  <c r="Z90" i="35"/>
  <c r="Z86" i="35"/>
  <c r="D92" i="35"/>
  <c r="AA53" i="35"/>
  <c r="AH75" i="35" s="1"/>
  <c r="E55" i="35"/>
  <c r="L77" i="35" s="1"/>
  <c r="E100" i="35"/>
  <c r="E89" i="35"/>
  <c r="E54" i="35"/>
  <c r="E52" i="35"/>
  <c r="L74" i="35" s="1"/>
  <c r="AA55" i="35"/>
  <c r="E101" i="35"/>
  <c r="F57" i="35" s="1"/>
  <c r="M79" i="35" s="1"/>
  <c r="AA101" i="35"/>
  <c r="D95" i="35"/>
  <c r="Z92" i="35"/>
  <c r="Z93" i="35"/>
  <c r="F44" i="35"/>
  <c r="M66" i="35" s="1"/>
  <c r="E53" i="35"/>
  <c r="L75" i="35" s="1"/>
  <c r="AA45" i="35"/>
  <c r="AH67" i="35" s="1"/>
  <c r="E43" i="35"/>
  <c r="L65" i="35" s="1"/>
  <c r="AA56" i="35"/>
  <c r="AH78" i="35" s="1"/>
  <c r="D94" i="35"/>
  <c r="D90" i="35"/>
  <c r="Z87" i="35"/>
  <c r="D91" i="35"/>
  <c r="AW54" i="35" l="1"/>
  <c r="L76" i="35"/>
  <c r="AW44" i="35"/>
  <c r="AH66" i="35"/>
  <c r="AA121" i="35"/>
  <c r="AH76" i="35"/>
  <c r="AA122" i="35"/>
  <c r="AH77" i="35"/>
  <c r="E109" i="35"/>
  <c r="F111" i="35"/>
  <c r="E122" i="35"/>
  <c r="AW55" i="35"/>
  <c r="AW56" i="35"/>
  <c r="AW45" i="35"/>
  <c r="E120" i="35"/>
  <c r="AW53" i="35"/>
  <c r="AW52" i="35"/>
  <c r="AA112" i="35"/>
  <c r="AW112" i="35" s="1"/>
  <c r="AA96" i="35"/>
  <c r="AA43" i="35"/>
  <c r="AH65" i="35" s="1"/>
  <c r="E50" i="35"/>
  <c r="L72" i="35" s="1"/>
  <c r="E87" i="35"/>
  <c r="F88" i="35"/>
  <c r="AA48" i="35"/>
  <c r="AH70" i="35" s="1"/>
  <c r="E96" i="35"/>
  <c r="E98" i="35"/>
  <c r="AA97" i="35"/>
  <c r="AA88" i="35"/>
  <c r="F45" i="35"/>
  <c r="M67" i="35" s="1"/>
  <c r="E48" i="35"/>
  <c r="L70" i="35" s="1"/>
  <c r="AA50" i="35"/>
  <c r="AH72" i="35" s="1"/>
  <c r="AA100" i="35"/>
  <c r="E110" i="35"/>
  <c r="E97" i="35"/>
  <c r="E119" i="35"/>
  <c r="E121" i="35"/>
  <c r="F56" i="35"/>
  <c r="M78" i="35" s="1"/>
  <c r="AA120" i="35"/>
  <c r="AA42" i="35"/>
  <c r="AA111" i="35"/>
  <c r="AW111" i="35" s="1"/>
  <c r="AA51" i="35"/>
  <c r="AH73" i="35" s="1"/>
  <c r="E49" i="35"/>
  <c r="L71" i="35" s="1"/>
  <c r="AA119" i="35"/>
  <c r="AB57" i="35"/>
  <c r="AA46" i="35"/>
  <c r="AH68" i="35" s="1"/>
  <c r="AA47" i="35"/>
  <c r="AH69" i="35" s="1"/>
  <c r="E47" i="35"/>
  <c r="L69" i="35" s="1"/>
  <c r="E46" i="35"/>
  <c r="L68" i="35" s="1"/>
  <c r="AA123" i="35"/>
  <c r="AW123" i="35" s="1"/>
  <c r="AA89" i="35"/>
  <c r="AA49" i="35"/>
  <c r="AH71" i="35" s="1"/>
  <c r="E51" i="35"/>
  <c r="L73" i="35" s="1"/>
  <c r="AA99" i="35"/>
  <c r="E86" i="35"/>
  <c r="E99" i="35"/>
  <c r="AA98" i="35"/>
  <c r="AW122" i="35" l="1"/>
  <c r="AW121" i="35"/>
  <c r="AX57" i="35"/>
  <c r="AI79" i="35"/>
  <c r="AA109" i="35"/>
  <c r="AW109" i="35" s="1"/>
  <c r="AH64" i="35"/>
  <c r="AW120" i="35"/>
  <c r="E118" i="35"/>
  <c r="AW51" i="35"/>
  <c r="E113" i="35"/>
  <c r="AW46" i="35"/>
  <c r="E115" i="35"/>
  <c r="AW48" i="35"/>
  <c r="AW42" i="35"/>
  <c r="E117" i="35"/>
  <c r="AW50" i="35"/>
  <c r="E114" i="35"/>
  <c r="AW47" i="35"/>
  <c r="AW119" i="35"/>
  <c r="F112" i="35"/>
  <c r="E116" i="35"/>
  <c r="AW49" i="35"/>
  <c r="AW43" i="35"/>
  <c r="AA93" i="35"/>
  <c r="AB49" i="35" s="1"/>
  <c r="AI71" i="35" s="1"/>
  <c r="AA95" i="35"/>
  <c r="AB51" i="35" s="1"/>
  <c r="AI73" i="35" s="1"/>
  <c r="AA114" i="35"/>
  <c r="AA118" i="35"/>
  <c r="AA87" i="35"/>
  <c r="AA90" i="35"/>
  <c r="AB46" i="35" s="1"/>
  <c r="AI68" i="35" s="1"/>
  <c r="AB52" i="35"/>
  <c r="F55" i="35"/>
  <c r="M77" i="35" s="1"/>
  <c r="AB55" i="35"/>
  <c r="AI77" i="35" s="1"/>
  <c r="AA116" i="35"/>
  <c r="E90" i="35"/>
  <c r="AA91" i="35"/>
  <c r="AA113" i="35"/>
  <c r="AA94" i="35"/>
  <c r="AA92" i="35"/>
  <c r="AB101" i="35"/>
  <c r="AA86" i="35"/>
  <c r="F100" i="35"/>
  <c r="F101" i="35"/>
  <c r="G57" i="35" s="1"/>
  <c r="N79" i="35" s="1"/>
  <c r="AB56" i="35"/>
  <c r="AB53" i="35"/>
  <c r="F52" i="35"/>
  <c r="M74" i="35" s="1"/>
  <c r="G44" i="35"/>
  <c r="N66" i="35" s="1"/>
  <c r="E95" i="35"/>
  <c r="E93" i="35"/>
  <c r="F53" i="35"/>
  <c r="M75" i="35" s="1"/>
  <c r="AA117" i="35"/>
  <c r="F89" i="35"/>
  <c r="AB44" i="35"/>
  <c r="AI66" i="35" s="1"/>
  <c r="F54" i="35"/>
  <c r="M76" i="35" s="1"/>
  <c r="AA115" i="35"/>
  <c r="F43" i="35"/>
  <c r="M65" i="35" s="1"/>
  <c r="AB54" i="35"/>
  <c r="AI76" i="35" s="1"/>
  <c r="F42" i="35"/>
  <c r="AB45" i="35"/>
  <c r="E91" i="35"/>
  <c r="AB124" i="35"/>
  <c r="F123" i="35"/>
  <c r="F124" i="35"/>
  <c r="E92" i="35"/>
  <c r="E94" i="35"/>
  <c r="AA110" i="35"/>
  <c r="AW110" i="35" s="1"/>
  <c r="M64" i="35" l="1"/>
  <c r="AB119" i="35"/>
  <c r="AI74" i="35"/>
  <c r="AB120" i="35"/>
  <c r="AI75" i="35"/>
  <c r="AX45" i="35"/>
  <c r="AI67" i="35"/>
  <c r="AB123" i="35"/>
  <c r="AX123" i="35" s="1"/>
  <c r="AI78" i="35"/>
  <c r="F109" i="35"/>
  <c r="F119" i="35"/>
  <c r="AX119" i="35" s="1"/>
  <c r="AX52" i="35"/>
  <c r="AW117" i="35"/>
  <c r="AW113" i="35"/>
  <c r="F121" i="35"/>
  <c r="AX54" i="35"/>
  <c r="F122" i="35"/>
  <c r="AX55" i="35"/>
  <c r="AW114" i="35"/>
  <c r="AX56" i="35"/>
  <c r="AW115" i="35"/>
  <c r="AW118" i="35"/>
  <c r="AW116" i="35"/>
  <c r="AB111" i="35"/>
  <c r="AX111" i="35" s="1"/>
  <c r="AX44" i="35"/>
  <c r="F120" i="35"/>
  <c r="AX53" i="35"/>
  <c r="AX124" i="35"/>
  <c r="AB118" i="35"/>
  <c r="AB116" i="35"/>
  <c r="AB93" i="35"/>
  <c r="AC49" i="35" s="1"/>
  <c r="AJ71" i="35" s="1"/>
  <c r="AB113" i="35"/>
  <c r="AB95" i="35"/>
  <c r="AC51" i="35" s="1"/>
  <c r="AB90" i="35"/>
  <c r="AB96" i="35"/>
  <c r="G88" i="35"/>
  <c r="H44" i="35" s="1"/>
  <c r="O66" i="35" s="1"/>
  <c r="G111" i="35"/>
  <c r="AB43" i="35"/>
  <c r="AB98" i="35"/>
  <c r="AB88" i="35"/>
  <c r="F96" i="35"/>
  <c r="AB100" i="35"/>
  <c r="G56" i="35"/>
  <c r="N78" i="35" s="1"/>
  <c r="AB50" i="35"/>
  <c r="F46" i="35"/>
  <c r="M68" i="35" s="1"/>
  <c r="F87" i="35"/>
  <c r="F49" i="35"/>
  <c r="M71" i="35" s="1"/>
  <c r="F48" i="35"/>
  <c r="M70" i="35" s="1"/>
  <c r="F47" i="35"/>
  <c r="M69" i="35" s="1"/>
  <c r="F86" i="35"/>
  <c r="F97" i="35"/>
  <c r="F51" i="35"/>
  <c r="M73" i="35" s="1"/>
  <c r="F99" i="35"/>
  <c r="AB89" i="35"/>
  <c r="AB99" i="35"/>
  <c r="F50" i="35"/>
  <c r="M72" i="35" s="1"/>
  <c r="AB112" i="35"/>
  <c r="AX112" i="35" s="1"/>
  <c r="AB121" i="35"/>
  <c r="F110" i="35"/>
  <c r="F98" i="35"/>
  <c r="G45" i="35"/>
  <c r="N67" i="35" s="1"/>
  <c r="AB97" i="35"/>
  <c r="AB42" i="35"/>
  <c r="AC57" i="35"/>
  <c r="AJ79" i="35" s="1"/>
  <c r="AB48" i="35"/>
  <c r="AB47" i="35"/>
  <c r="AB122" i="35"/>
  <c r="AX120" i="35" l="1"/>
  <c r="AB109" i="35"/>
  <c r="AX109" i="35" s="1"/>
  <c r="AI64" i="35"/>
  <c r="AB114" i="35"/>
  <c r="AI69" i="35"/>
  <c r="AB110" i="35"/>
  <c r="AX110" i="35" s="1"/>
  <c r="AI65" i="35"/>
  <c r="AB117" i="35"/>
  <c r="AI72" i="35"/>
  <c r="AB115" i="35"/>
  <c r="AI70" i="35"/>
  <c r="AC118" i="35"/>
  <c r="AJ73" i="35"/>
  <c r="F118" i="35"/>
  <c r="AX118" i="35" s="1"/>
  <c r="AX51" i="35"/>
  <c r="G100" i="35"/>
  <c r="H56" i="35" s="1"/>
  <c r="O78" i="35" s="1"/>
  <c r="AX122" i="35"/>
  <c r="AX42" i="35"/>
  <c r="F117" i="35"/>
  <c r="AX50" i="35"/>
  <c r="F115" i="35"/>
  <c r="AX115" i="35" s="1"/>
  <c r="AX48" i="35"/>
  <c r="F113" i="35"/>
  <c r="AX113" i="35" s="1"/>
  <c r="AX46" i="35"/>
  <c r="AX43" i="35"/>
  <c r="AX47" i="35"/>
  <c r="F116" i="35"/>
  <c r="AX116" i="35" s="1"/>
  <c r="AX49" i="35"/>
  <c r="AX121" i="35"/>
  <c r="AY57" i="35"/>
  <c r="AC93" i="35"/>
  <c r="AD49" i="35" s="1"/>
  <c r="AK71" i="35" s="1"/>
  <c r="AC116" i="35"/>
  <c r="G101" i="35"/>
  <c r="H57" i="35" s="1"/>
  <c r="O79" i="35" s="1"/>
  <c r="AC46" i="35"/>
  <c r="AJ68" i="35" s="1"/>
  <c r="G112" i="35"/>
  <c r="G89" i="35"/>
  <c r="H45" i="35" s="1"/>
  <c r="O67" i="35" s="1"/>
  <c r="H88" i="35"/>
  <c r="I44" i="35" s="1"/>
  <c r="P66" i="35" s="1"/>
  <c r="AB87" i="35"/>
  <c r="AC52" i="35"/>
  <c r="AJ74" i="35" s="1"/>
  <c r="H111" i="35"/>
  <c r="F90" i="35"/>
  <c r="AC56" i="35"/>
  <c r="AJ78" i="35" s="1"/>
  <c r="G54" i="35"/>
  <c r="N76" i="35" s="1"/>
  <c r="G55" i="35"/>
  <c r="N77" i="35" s="1"/>
  <c r="G53" i="35"/>
  <c r="N75" i="35" s="1"/>
  <c r="F91" i="35"/>
  <c r="AC44" i="35"/>
  <c r="AJ66" i="35" s="1"/>
  <c r="AB92" i="35"/>
  <c r="F94" i="35"/>
  <c r="F93" i="35"/>
  <c r="AC101" i="35"/>
  <c r="AB86" i="35"/>
  <c r="AC45" i="35"/>
  <c r="AJ67" i="35" s="1"/>
  <c r="F95" i="35"/>
  <c r="G42" i="35"/>
  <c r="AC55" i="35"/>
  <c r="AJ77" i="35" s="1"/>
  <c r="AC95" i="35"/>
  <c r="AB91" i="35"/>
  <c r="AC124" i="35"/>
  <c r="G124" i="35"/>
  <c r="AC53" i="35"/>
  <c r="AJ75" i="35" s="1"/>
  <c r="F114" i="35"/>
  <c r="F92" i="35"/>
  <c r="G43" i="35"/>
  <c r="N65" i="35" s="1"/>
  <c r="AB94" i="35"/>
  <c r="G123" i="35"/>
  <c r="G52" i="35"/>
  <c r="N74" i="35" s="1"/>
  <c r="AC54" i="35"/>
  <c r="AJ76" i="35" s="1"/>
  <c r="AX114" i="35" l="1"/>
  <c r="AX117" i="35"/>
  <c r="N64" i="35"/>
  <c r="AY45" i="35"/>
  <c r="AY53" i="35"/>
  <c r="AY44" i="35"/>
  <c r="AY55" i="35"/>
  <c r="AY52" i="35"/>
  <c r="AY54" i="35"/>
  <c r="AY56" i="35"/>
  <c r="AY124" i="35"/>
  <c r="AD116" i="35"/>
  <c r="AD93" i="35"/>
  <c r="AE49" i="35" s="1"/>
  <c r="AC120" i="35"/>
  <c r="AC100" i="35"/>
  <c r="AD56" i="35" s="1"/>
  <c r="AK78" i="35" s="1"/>
  <c r="AC113" i="35"/>
  <c r="AC90" i="35"/>
  <c r="AD46" i="35" s="1"/>
  <c r="AK68" i="35" s="1"/>
  <c r="H123" i="35"/>
  <c r="H89" i="35"/>
  <c r="I45" i="35" s="1"/>
  <c r="P67" i="35" s="1"/>
  <c r="G98" i="35"/>
  <c r="H54" i="35" s="1"/>
  <c r="O76" i="35" s="1"/>
  <c r="G110" i="35"/>
  <c r="AC89" i="35"/>
  <c r="AD45" i="35" s="1"/>
  <c r="AK67" i="35" s="1"/>
  <c r="G121" i="35"/>
  <c r="G119" i="35"/>
  <c r="G122" i="35"/>
  <c r="AC119" i="35"/>
  <c r="AC43" i="35"/>
  <c r="AJ65" i="35" s="1"/>
  <c r="AC121" i="35"/>
  <c r="G120" i="35"/>
  <c r="AC98" i="35"/>
  <c r="AD54" i="35" s="1"/>
  <c r="AK76" i="35" s="1"/>
  <c r="G96" i="35"/>
  <c r="H52" i="35" s="1"/>
  <c r="O74" i="35" s="1"/>
  <c r="AC99" i="35"/>
  <c r="AD55" i="35" s="1"/>
  <c r="AK77" i="35" s="1"/>
  <c r="I88" i="35"/>
  <c r="J44" i="35" s="1"/>
  <c r="Q66" i="35" s="1"/>
  <c r="G97" i="35"/>
  <c r="H53" i="35" s="1"/>
  <c r="O75" i="35" s="1"/>
  <c r="G99" i="35"/>
  <c r="H55" i="35" s="1"/>
  <c r="O77" i="35" s="1"/>
  <c r="AC96" i="35"/>
  <c r="AD51" i="35"/>
  <c r="AK73" i="35" s="1"/>
  <c r="AC48" i="35"/>
  <c r="AJ70" i="35" s="1"/>
  <c r="G47" i="35"/>
  <c r="N69" i="35" s="1"/>
  <c r="AD57" i="35"/>
  <c r="AC50" i="35"/>
  <c r="AJ72" i="35" s="1"/>
  <c r="AC97" i="35"/>
  <c r="H101" i="35"/>
  <c r="G86" i="35"/>
  <c r="G51" i="35"/>
  <c r="N73" i="35" s="1"/>
  <c r="G49" i="35"/>
  <c r="N71" i="35" s="1"/>
  <c r="H112" i="35"/>
  <c r="AC111" i="35"/>
  <c r="AY111" i="35" s="1"/>
  <c r="I111" i="35"/>
  <c r="G50" i="35"/>
  <c r="N72" i="35" s="1"/>
  <c r="G87" i="35"/>
  <c r="G48" i="35"/>
  <c r="N70" i="35" s="1"/>
  <c r="AC47" i="35"/>
  <c r="AJ69" i="35" s="1"/>
  <c r="AC122" i="35"/>
  <c r="H124" i="35"/>
  <c r="H100" i="35"/>
  <c r="G109" i="35"/>
  <c r="AC112" i="35"/>
  <c r="AY112" i="35" s="1"/>
  <c r="AC42" i="35"/>
  <c r="AJ64" i="35" s="1"/>
  <c r="AC88" i="35"/>
  <c r="AC123" i="35"/>
  <c r="AY123" i="35" s="1"/>
  <c r="G46" i="35"/>
  <c r="N68" i="35" s="1"/>
  <c r="AE116" i="35" l="1"/>
  <c r="AL71" i="35"/>
  <c r="AD101" i="35"/>
  <c r="AK79" i="35"/>
  <c r="AY120" i="35"/>
  <c r="AY122" i="35"/>
  <c r="AY43" i="35"/>
  <c r="AZ56" i="35"/>
  <c r="AY42" i="35"/>
  <c r="AY46" i="35"/>
  <c r="AY50" i="35"/>
  <c r="G93" i="35"/>
  <c r="H49" i="35" s="1"/>
  <c r="O71" i="35" s="1"/>
  <c r="AY49" i="35"/>
  <c r="AZ55" i="35"/>
  <c r="AY119" i="35"/>
  <c r="AZ54" i="35"/>
  <c r="AY51" i="35"/>
  <c r="AY121" i="35"/>
  <c r="AZ57" i="35"/>
  <c r="G91" i="35"/>
  <c r="H47" i="35" s="1"/>
  <c r="O69" i="35" s="1"/>
  <c r="AY47" i="35"/>
  <c r="AY48" i="35"/>
  <c r="AZ45" i="35"/>
  <c r="AE93" i="35"/>
  <c r="AF49" i="35" s="1"/>
  <c r="AM71" i="35" s="1"/>
  <c r="AD90" i="35"/>
  <c r="G113" i="35"/>
  <c r="AY113" i="35" s="1"/>
  <c r="G94" i="35"/>
  <c r="H50" i="35" s="1"/>
  <c r="O72" i="35" s="1"/>
  <c r="H99" i="35"/>
  <c r="I55" i="35" s="1"/>
  <c r="P77" i="35" s="1"/>
  <c r="H121" i="35"/>
  <c r="AD113" i="35"/>
  <c r="G117" i="35"/>
  <c r="I112" i="35"/>
  <c r="H120" i="35"/>
  <c r="AD123" i="35"/>
  <c r="AZ123" i="35" s="1"/>
  <c r="AD52" i="35"/>
  <c r="AK74" i="35" s="1"/>
  <c r="AD95" i="35"/>
  <c r="AD98" i="35"/>
  <c r="AE54" i="35" s="1"/>
  <c r="AL76" i="35" s="1"/>
  <c r="AC87" i="35"/>
  <c r="G90" i="35"/>
  <c r="H46" i="35" s="1"/>
  <c r="O68" i="35" s="1"/>
  <c r="G92" i="35"/>
  <c r="H48" i="35" s="1"/>
  <c r="O70" i="35" s="1"/>
  <c r="AD112" i="35"/>
  <c r="AZ112" i="35" s="1"/>
  <c r="G95" i="35"/>
  <c r="H51" i="35" s="1"/>
  <c r="O73" i="35" s="1"/>
  <c r="AD100" i="35"/>
  <c r="AE56" i="35" s="1"/>
  <c r="AL78" i="35" s="1"/>
  <c r="I89" i="35"/>
  <c r="J45" i="35" s="1"/>
  <c r="Q67" i="35" s="1"/>
  <c r="AD118" i="35"/>
  <c r="AC110" i="35"/>
  <c r="AY110" i="35" s="1"/>
  <c r="AE57" i="35"/>
  <c r="AL79" i="35" s="1"/>
  <c r="H43" i="35"/>
  <c r="O65" i="35" s="1"/>
  <c r="AD44" i="35"/>
  <c r="AK66" i="35" s="1"/>
  <c r="I57" i="35"/>
  <c r="P79" i="35" s="1"/>
  <c r="AC117" i="35"/>
  <c r="G114" i="35"/>
  <c r="AC115" i="35"/>
  <c r="AC91" i="35"/>
  <c r="G115" i="35"/>
  <c r="H98" i="35"/>
  <c r="AD99" i="35"/>
  <c r="H122" i="35"/>
  <c r="G116" i="35"/>
  <c r="AY116" i="35" s="1"/>
  <c r="H42" i="35"/>
  <c r="AD53" i="35"/>
  <c r="AK75" i="35" s="1"/>
  <c r="J88" i="35"/>
  <c r="AC92" i="35"/>
  <c r="H96" i="35"/>
  <c r="AD121" i="35"/>
  <c r="AC86" i="35"/>
  <c r="AC109" i="35"/>
  <c r="AY109" i="35" s="1"/>
  <c r="I56" i="35"/>
  <c r="P78" i="35" s="1"/>
  <c r="AC114" i="35"/>
  <c r="AD89" i="35"/>
  <c r="AD122" i="35"/>
  <c r="H97" i="35"/>
  <c r="G118" i="35"/>
  <c r="AY118" i="35" s="1"/>
  <c r="AC94" i="35"/>
  <c r="AD124" i="35"/>
  <c r="AZ124" i="35" s="1"/>
  <c r="J111" i="35"/>
  <c r="H119" i="35"/>
  <c r="O64" i="35" l="1"/>
  <c r="AY115" i="35"/>
  <c r="AZ122" i="35"/>
  <c r="AZ121" i="35"/>
  <c r="AZ53" i="35"/>
  <c r="AZ52" i="35"/>
  <c r="AZ44" i="35"/>
  <c r="BA56" i="35"/>
  <c r="AY114" i="35"/>
  <c r="AZ51" i="35"/>
  <c r="AZ49" i="35"/>
  <c r="AZ46" i="35"/>
  <c r="AY117" i="35"/>
  <c r="BA57" i="35"/>
  <c r="AF93" i="35"/>
  <c r="AG49" i="35" s="1"/>
  <c r="AF116" i="35"/>
  <c r="AD88" i="35"/>
  <c r="AE44" i="35" s="1"/>
  <c r="AL66" i="35" s="1"/>
  <c r="AE46" i="35"/>
  <c r="AE121" i="35"/>
  <c r="H118" i="35"/>
  <c r="AZ118" i="35" s="1"/>
  <c r="AE98" i="35"/>
  <c r="AF54" i="35" s="1"/>
  <c r="AM76" i="35" s="1"/>
  <c r="H93" i="35"/>
  <c r="I49" i="35" s="1"/>
  <c r="P71" i="35" s="1"/>
  <c r="H113" i="35"/>
  <c r="AZ113" i="35" s="1"/>
  <c r="AD96" i="35"/>
  <c r="H95" i="35"/>
  <c r="I51" i="35" s="1"/>
  <c r="P73" i="35" s="1"/>
  <c r="AE101" i="35"/>
  <c r="AF57" i="35" s="1"/>
  <c r="AM79" i="35" s="1"/>
  <c r="J112" i="35"/>
  <c r="H90" i="35"/>
  <c r="I46" i="35" s="1"/>
  <c r="P68" i="35" s="1"/>
  <c r="AD119" i="35"/>
  <c r="AZ119" i="35" s="1"/>
  <c r="H109" i="35"/>
  <c r="H94" i="35"/>
  <c r="I50" i="35" s="1"/>
  <c r="P72" i="35" s="1"/>
  <c r="AE51" i="35"/>
  <c r="AE100" i="35"/>
  <c r="H86" i="35"/>
  <c r="I42" i="35" s="1"/>
  <c r="P64" i="35" s="1"/>
  <c r="I122" i="35"/>
  <c r="H117" i="35"/>
  <c r="AD111" i="35"/>
  <c r="AZ111" i="35" s="1"/>
  <c r="AD43" i="35"/>
  <c r="AK65" i="35" s="1"/>
  <c r="AD97" i="35"/>
  <c r="AE53" i="35" s="1"/>
  <c r="AL75" i="35" s="1"/>
  <c r="I99" i="35"/>
  <c r="J55" i="35" s="1"/>
  <c r="Q77" i="35" s="1"/>
  <c r="AE45" i="35"/>
  <c r="AL67" i="35" s="1"/>
  <c r="AE123" i="35"/>
  <c r="I52" i="35"/>
  <c r="P74" i="35" s="1"/>
  <c r="AD120" i="35"/>
  <c r="AZ120" i="35" s="1"/>
  <c r="AD47" i="35"/>
  <c r="I124" i="35"/>
  <c r="H116" i="35"/>
  <c r="AZ116" i="35" s="1"/>
  <c r="H115" i="35"/>
  <c r="H91" i="35"/>
  <c r="H87" i="35"/>
  <c r="AE124" i="35"/>
  <c r="I53" i="35"/>
  <c r="P75" i="35" s="1"/>
  <c r="I100" i="35"/>
  <c r="AD48" i="35"/>
  <c r="AK70" i="35" s="1"/>
  <c r="AE55" i="35"/>
  <c r="AL77" i="35" s="1"/>
  <c r="AD50" i="35"/>
  <c r="AK72" i="35" s="1"/>
  <c r="I123" i="35"/>
  <c r="AD42" i="35"/>
  <c r="AK64" i="35" s="1"/>
  <c r="K44" i="35"/>
  <c r="R66" i="35" s="1"/>
  <c r="I54" i="35"/>
  <c r="P76" i="35" s="1"/>
  <c r="I101" i="35"/>
  <c r="H92" i="35"/>
  <c r="J89" i="35"/>
  <c r="H114" i="35"/>
  <c r="H110" i="35"/>
  <c r="AD91" i="35" l="1"/>
  <c r="AK69" i="35"/>
  <c r="AE118" i="35"/>
  <c r="AL73" i="35"/>
  <c r="AG116" i="35"/>
  <c r="AN71" i="35"/>
  <c r="AE90" i="35"/>
  <c r="AF46" i="35" s="1"/>
  <c r="AM68" i="35" s="1"/>
  <c r="AL68" i="35"/>
  <c r="BA49" i="35"/>
  <c r="AZ42" i="35"/>
  <c r="BA123" i="35"/>
  <c r="BA45" i="35"/>
  <c r="BA51" i="35"/>
  <c r="BA44" i="35"/>
  <c r="AZ48" i="35"/>
  <c r="AZ43" i="35"/>
  <c r="BA54" i="35"/>
  <c r="BA53" i="35"/>
  <c r="BA46" i="35"/>
  <c r="AZ50" i="35"/>
  <c r="BA55" i="35"/>
  <c r="AZ47" i="35"/>
  <c r="BA124" i="35"/>
  <c r="AG93" i="35"/>
  <c r="AH49" i="35" s="1"/>
  <c r="AO71" i="35" s="1"/>
  <c r="AE95" i="35"/>
  <c r="AF51" i="35" s="1"/>
  <c r="K88" i="35"/>
  <c r="L44" i="35" s="1"/>
  <c r="S66" i="35" s="1"/>
  <c r="AE111" i="35"/>
  <c r="BA111" i="35" s="1"/>
  <c r="I121" i="35"/>
  <c r="BA121" i="35" s="1"/>
  <c r="I98" i="35"/>
  <c r="J54" i="35" s="1"/>
  <c r="Q76" i="35" s="1"/>
  <c r="AE113" i="35"/>
  <c r="AD87" i="35"/>
  <c r="AE43" i="35" s="1"/>
  <c r="AL65" i="35" s="1"/>
  <c r="J99" i="35"/>
  <c r="K55" i="35" s="1"/>
  <c r="R77" i="35" s="1"/>
  <c r="AE99" i="35"/>
  <c r="AF55" i="35" s="1"/>
  <c r="AM77" i="35" s="1"/>
  <c r="I120" i="35"/>
  <c r="AE52" i="35"/>
  <c r="AL74" i="35" s="1"/>
  <c r="AF56" i="35"/>
  <c r="AM78" i="35" s="1"/>
  <c r="I117" i="35"/>
  <c r="I94" i="35"/>
  <c r="J50" i="35" s="1"/>
  <c r="Q72" i="35" s="1"/>
  <c r="I86" i="35"/>
  <c r="J42" i="35" s="1"/>
  <c r="Q64" i="35" s="1"/>
  <c r="I109" i="35"/>
  <c r="K111" i="35"/>
  <c r="AE122" i="35"/>
  <c r="BA122" i="35" s="1"/>
  <c r="I116" i="35"/>
  <c r="BA116" i="35" s="1"/>
  <c r="I95" i="35"/>
  <c r="J51" i="35" s="1"/>
  <c r="Q73" i="35" s="1"/>
  <c r="AF101" i="35"/>
  <c r="AG57" i="35" s="1"/>
  <c r="AN79" i="35" s="1"/>
  <c r="J122" i="35"/>
  <c r="I96" i="35"/>
  <c r="I113" i="35"/>
  <c r="I118" i="35"/>
  <c r="AD115" i="35"/>
  <c r="AZ115" i="35" s="1"/>
  <c r="AF124" i="35"/>
  <c r="AE88" i="35"/>
  <c r="I119" i="35"/>
  <c r="I90" i="35"/>
  <c r="J46" i="35" s="1"/>
  <c r="Q68" i="35" s="1"/>
  <c r="AD110" i="35"/>
  <c r="AZ110" i="35" s="1"/>
  <c r="I48" i="35"/>
  <c r="P70" i="35" s="1"/>
  <c r="AE120" i="35"/>
  <c r="AF98" i="35"/>
  <c r="J56" i="35"/>
  <c r="Q78" i="35" s="1"/>
  <c r="AE47" i="35"/>
  <c r="AL69" i="35" s="1"/>
  <c r="AE89" i="35"/>
  <c r="J57" i="35"/>
  <c r="Q79" i="35" s="1"/>
  <c r="AF121" i="35"/>
  <c r="AD86" i="35"/>
  <c r="AD94" i="35"/>
  <c r="AD92" i="35"/>
  <c r="I97" i="35"/>
  <c r="I43" i="35"/>
  <c r="P65" i="35" s="1"/>
  <c r="I93" i="35"/>
  <c r="AD114" i="35"/>
  <c r="AZ114" i="35" s="1"/>
  <c r="AE97" i="35"/>
  <c r="AE112" i="35"/>
  <c r="BA112" i="35" s="1"/>
  <c r="K45" i="35"/>
  <c r="R67" i="35" s="1"/>
  <c r="AD109" i="35"/>
  <c r="AZ109" i="35" s="1"/>
  <c r="AD117" i="35"/>
  <c r="AZ117" i="35" s="1"/>
  <c r="I47" i="35"/>
  <c r="P69" i="35" s="1"/>
  <c r="BA118" i="35" l="1"/>
  <c r="AF113" i="35"/>
  <c r="AF90" i="35"/>
  <c r="AG46" i="35" s="1"/>
  <c r="AN68" i="35" s="1"/>
  <c r="AF118" i="35"/>
  <c r="AM73" i="35"/>
  <c r="AF100" i="35"/>
  <c r="AG56" i="35" s="1"/>
  <c r="AN78" i="35" s="1"/>
  <c r="BA52" i="35"/>
  <c r="AH116" i="35"/>
  <c r="BB51" i="35"/>
  <c r="BA43" i="35"/>
  <c r="BB56" i="35"/>
  <c r="BA113" i="35"/>
  <c r="AH93" i="35"/>
  <c r="AI49" i="35" s="1"/>
  <c r="BB46" i="35"/>
  <c r="BA120" i="35"/>
  <c r="BB54" i="35"/>
  <c r="BB55" i="35"/>
  <c r="BA47" i="35"/>
  <c r="BB57" i="35"/>
  <c r="J98" i="35"/>
  <c r="K54" i="35" s="1"/>
  <c r="R76" i="35" s="1"/>
  <c r="J118" i="35"/>
  <c r="J123" i="35"/>
  <c r="AE119" i="35"/>
  <c r="BA119" i="35" s="1"/>
  <c r="L111" i="35"/>
  <c r="K99" i="35"/>
  <c r="L55" i="35" s="1"/>
  <c r="S77" i="35" s="1"/>
  <c r="AF44" i="35"/>
  <c r="AE114" i="35"/>
  <c r="J109" i="35"/>
  <c r="K122" i="35"/>
  <c r="I92" i="35"/>
  <c r="J48" i="35" s="1"/>
  <c r="Q70" i="35" s="1"/>
  <c r="AE96" i="35"/>
  <c r="AF123" i="35"/>
  <c r="AG101" i="35"/>
  <c r="AH57" i="35" s="1"/>
  <c r="AO79" i="35" s="1"/>
  <c r="AG124" i="35"/>
  <c r="AE91" i="35"/>
  <c r="AF47" i="35" s="1"/>
  <c r="AM69" i="35" s="1"/>
  <c r="I115" i="35"/>
  <c r="AF99" i="35"/>
  <c r="AG55" i="35" s="1"/>
  <c r="AN77" i="35" s="1"/>
  <c r="L88" i="35"/>
  <c r="M44" i="35" s="1"/>
  <c r="T66" i="35" s="1"/>
  <c r="J101" i="35"/>
  <c r="K57" i="35" s="1"/>
  <c r="R79" i="35" s="1"/>
  <c r="J90" i="35"/>
  <c r="J94" i="35"/>
  <c r="K50" i="35" s="1"/>
  <c r="R72" i="35" s="1"/>
  <c r="J86" i="35"/>
  <c r="K42" i="35" s="1"/>
  <c r="R64" i="35" s="1"/>
  <c r="J52" i="35"/>
  <c r="Q74" i="35" s="1"/>
  <c r="AE110" i="35"/>
  <c r="I91" i="35"/>
  <c r="J47" i="35" s="1"/>
  <c r="Q69" i="35" s="1"/>
  <c r="J124" i="35"/>
  <c r="I114" i="35"/>
  <c r="AE87" i="35"/>
  <c r="AE42" i="35"/>
  <c r="AL64" i="35" s="1"/>
  <c r="J53" i="35"/>
  <c r="Q75" i="35" s="1"/>
  <c r="K112" i="35"/>
  <c r="AF45" i="35"/>
  <c r="AM67" i="35" s="1"/>
  <c r="I87" i="35"/>
  <c r="AE48" i="35"/>
  <c r="AL70" i="35" s="1"/>
  <c r="J121" i="35"/>
  <c r="BB121" i="35" s="1"/>
  <c r="J117" i="35"/>
  <c r="AF53" i="35"/>
  <c r="AM75" i="35" s="1"/>
  <c r="AF122" i="35"/>
  <c r="BB122" i="35" s="1"/>
  <c r="K89" i="35"/>
  <c r="J49" i="35"/>
  <c r="Q71" i="35" s="1"/>
  <c r="I110" i="35"/>
  <c r="AE50" i="35"/>
  <c r="AL72" i="35" s="1"/>
  <c r="J113" i="35"/>
  <c r="BB113" i="35" s="1"/>
  <c r="J100" i="35"/>
  <c r="AF95" i="35"/>
  <c r="AG51" i="35" s="1"/>
  <c r="AN73" i="35" s="1"/>
  <c r="AG54" i="35"/>
  <c r="AN76" i="35" s="1"/>
  <c r="J95" i="35"/>
  <c r="AG90" i="35"/>
  <c r="AG113" i="35" l="1"/>
  <c r="BB118" i="35"/>
  <c r="AG123" i="35"/>
  <c r="BA114" i="35"/>
  <c r="BB44" i="35"/>
  <c r="AM66" i="35"/>
  <c r="AI116" i="35"/>
  <c r="AP71" i="35"/>
  <c r="AG100" i="35"/>
  <c r="AH56" i="35" s="1"/>
  <c r="AO78" i="35" s="1"/>
  <c r="BA110" i="35"/>
  <c r="BA42" i="35"/>
  <c r="BA48" i="35"/>
  <c r="BA50" i="35"/>
  <c r="BC54" i="35"/>
  <c r="BC55" i="35"/>
  <c r="BB45" i="35"/>
  <c r="BB47" i="35"/>
  <c r="BB49" i="35"/>
  <c r="BB53" i="35"/>
  <c r="BB123" i="35"/>
  <c r="BC57" i="35"/>
  <c r="BB124" i="35"/>
  <c r="AE94" i="35"/>
  <c r="AF50" i="35" s="1"/>
  <c r="AM72" i="35" s="1"/>
  <c r="J93" i="35"/>
  <c r="K49" i="35" s="1"/>
  <c r="R71" i="35" s="1"/>
  <c r="AF91" i="35"/>
  <c r="AG47" i="35" s="1"/>
  <c r="AN69" i="35" s="1"/>
  <c r="AG98" i="35"/>
  <c r="AH54" i="35" s="1"/>
  <c r="AO76" i="35" s="1"/>
  <c r="AG121" i="35"/>
  <c r="AE117" i="35"/>
  <c r="BA117" i="35" s="1"/>
  <c r="J116" i="35"/>
  <c r="BB116" i="35" s="1"/>
  <c r="J115" i="35"/>
  <c r="AH101" i="35"/>
  <c r="AI57" i="35" s="1"/>
  <c r="AP79" i="35" s="1"/>
  <c r="AF52" i="35"/>
  <c r="AM74" i="35" s="1"/>
  <c r="AG118" i="35"/>
  <c r="K94" i="35"/>
  <c r="L50" i="35" s="1"/>
  <c r="S72" i="35" s="1"/>
  <c r="L122" i="35"/>
  <c r="AF111" i="35"/>
  <c r="BB111" i="35" s="1"/>
  <c r="J120" i="35"/>
  <c r="AF88" i="35"/>
  <c r="AG44" i="35" s="1"/>
  <c r="AN66" i="35" s="1"/>
  <c r="M88" i="35"/>
  <c r="N44" i="35" s="1"/>
  <c r="U66" i="35" s="1"/>
  <c r="K117" i="35"/>
  <c r="AH124" i="35"/>
  <c r="J91" i="35"/>
  <c r="K47" i="35" s="1"/>
  <c r="R69" i="35" s="1"/>
  <c r="K101" i="35"/>
  <c r="L57" i="35" s="1"/>
  <c r="S79" i="35" s="1"/>
  <c r="AF43" i="35"/>
  <c r="K46" i="35"/>
  <c r="R68" i="35" s="1"/>
  <c r="AF97" i="35"/>
  <c r="AG53" i="35" s="1"/>
  <c r="AN75" i="35" s="1"/>
  <c r="AE92" i="35"/>
  <c r="AF48" i="35" s="1"/>
  <c r="J114" i="35"/>
  <c r="AF114" i="35"/>
  <c r="K124" i="35"/>
  <c r="BC124" i="35" s="1"/>
  <c r="J119" i="35"/>
  <c r="J96" i="35"/>
  <c r="K52" i="35" s="1"/>
  <c r="R74" i="35" s="1"/>
  <c r="K51" i="35"/>
  <c r="R73" i="35" s="1"/>
  <c r="K56" i="35"/>
  <c r="R78" i="35" s="1"/>
  <c r="K121" i="35"/>
  <c r="K86" i="35"/>
  <c r="J92" i="35"/>
  <c r="AG99" i="35"/>
  <c r="L99" i="35"/>
  <c r="J43" i="35"/>
  <c r="Q65" i="35" s="1"/>
  <c r="AF89" i="35"/>
  <c r="K109" i="35"/>
  <c r="J97" i="35"/>
  <c r="AE86" i="35"/>
  <c r="M111" i="35"/>
  <c r="AG95" i="35"/>
  <c r="AH51" i="35" s="1"/>
  <c r="AO73" i="35" s="1"/>
  <c r="L45" i="35"/>
  <c r="S67" i="35" s="1"/>
  <c r="AF120" i="35"/>
  <c r="AG122" i="35"/>
  <c r="BC122" i="35" s="1"/>
  <c r="AE115" i="35"/>
  <c r="BA115" i="35" s="1"/>
  <c r="K98" i="35"/>
  <c r="AF112" i="35"/>
  <c r="BB112" i="35" s="1"/>
  <c r="AE109" i="35"/>
  <c r="BA109" i="35" s="1"/>
  <c r="AH46" i="35"/>
  <c r="AI93" i="35"/>
  <c r="AF87" i="35" l="1"/>
  <c r="AM65" i="35"/>
  <c r="AH113" i="35"/>
  <c r="AO68" i="35"/>
  <c r="BB48" i="35"/>
  <c r="AM70" i="35"/>
  <c r="BC121" i="35"/>
  <c r="BB114" i="35"/>
  <c r="BB120" i="35"/>
  <c r="BC56" i="35"/>
  <c r="BC49" i="35"/>
  <c r="BB52" i="35"/>
  <c r="BC51" i="35"/>
  <c r="BC47" i="35"/>
  <c r="BB43" i="35"/>
  <c r="K90" i="35"/>
  <c r="L46" i="35" s="1"/>
  <c r="S68" i="35" s="1"/>
  <c r="BC46" i="35"/>
  <c r="BC44" i="35"/>
  <c r="BB50" i="35"/>
  <c r="BD57" i="35"/>
  <c r="J87" i="35"/>
  <c r="K96" i="35"/>
  <c r="L52" i="35" s="1"/>
  <c r="S74" i="35" s="1"/>
  <c r="K119" i="35"/>
  <c r="K95" i="35"/>
  <c r="L51" i="35" s="1"/>
  <c r="S73" i="35" s="1"/>
  <c r="L94" i="35"/>
  <c r="M50" i="35" s="1"/>
  <c r="T72" i="35" s="1"/>
  <c r="AG88" i="35"/>
  <c r="AH44" i="35" s="1"/>
  <c r="AO66" i="35" s="1"/>
  <c r="AG111" i="35"/>
  <c r="BC111" i="35" s="1"/>
  <c r="AG114" i="35"/>
  <c r="AF96" i="35"/>
  <c r="AF119" i="35"/>
  <c r="BB119" i="35" s="1"/>
  <c r="AH98" i="35"/>
  <c r="AI54" i="35" s="1"/>
  <c r="AP76" i="35" s="1"/>
  <c r="AF110" i="35"/>
  <c r="AI101" i="35"/>
  <c r="AJ57" i="35" s="1"/>
  <c r="AQ79" i="35" s="1"/>
  <c r="N88" i="35"/>
  <c r="O44" i="35" s="1"/>
  <c r="V66" i="35" s="1"/>
  <c r="K93" i="35"/>
  <c r="AG43" i="35"/>
  <c r="AN65" i="35" s="1"/>
  <c r="AI124" i="35"/>
  <c r="AH118" i="35"/>
  <c r="J110" i="35"/>
  <c r="N111" i="35"/>
  <c r="AG91" i="35"/>
  <c r="AH47" i="35" s="1"/>
  <c r="AO69" i="35" s="1"/>
  <c r="K116" i="35"/>
  <c r="BC116" i="35" s="1"/>
  <c r="K113" i="35"/>
  <c r="BC113" i="35" s="1"/>
  <c r="AF115" i="35"/>
  <c r="BB115" i="35" s="1"/>
  <c r="AH100" i="35"/>
  <c r="K43" i="35"/>
  <c r="R65" i="35" s="1"/>
  <c r="K48" i="35"/>
  <c r="R70" i="35" s="1"/>
  <c r="AF117" i="35"/>
  <c r="BB117" i="35" s="1"/>
  <c r="K100" i="35"/>
  <c r="K53" i="35"/>
  <c r="R75" i="35" s="1"/>
  <c r="AH55" i="35"/>
  <c r="AO77" i="35" s="1"/>
  <c r="L124" i="35"/>
  <c r="BD124" i="35" s="1"/>
  <c r="K91" i="35"/>
  <c r="L54" i="35"/>
  <c r="S76" i="35" s="1"/>
  <c r="L89" i="35"/>
  <c r="AH123" i="35"/>
  <c r="AF42" i="35"/>
  <c r="AM64" i="35" s="1"/>
  <c r="AF94" i="35"/>
  <c r="AH121" i="35"/>
  <c r="K123" i="35"/>
  <c r="BC123" i="35" s="1"/>
  <c r="AG97" i="35"/>
  <c r="L117" i="35"/>
  <c r="K118" i="35"/>
  <c r="BC118" i="35" s="1"/>
  <c r="L101" i="35"/>
  <c r="M57" i="35" s="1"/>
  <c r="T79" i="35" s="1"/>
  <c r="K114" i="35"/>
  <c r="L112" i="35"/>
  <c r="AG45" i="35"/>
  <c r="AN67" i="35" s="1"/>
  <c r="M55" i="35"/>
  <c r="T77" i="35" s="1"/>
  <c r="AF92" i="35"/>
  <c r="L42" i="35"/>
  <c r="S64" i="35" s="1"/>
  <c r="AG120" i="35"/>
  <c r="AJ49" i="35"/>
  <c r="AH95" i="35"/>
  <c r="AH90" i="35"/>
  <c r="AJ116" i="35" l="1"/>
  <c r="AQ71" i="35"/>
  <c r="BB110" i="35"/>
  <c r="L90" i="35"/>
  <c r="M46" i="35" s="1"/>
  <c r="T68" i="35" s="1"/>
  <c r="BD46" i="35"/>
  <c r="BC114" i="35"/>
  <c r="BD54" i="35"/>
  <c r="BD55" i="35"/>
  <c r="BD44" i="35"/>
  <c r="L118" i="35"/>
  <c r="BD118" i="35" s="1"/>
  <c r="BD51" i="35"/>
  <c r="BB42" i="35"/>
  <c r="BC53" i="35"/>
  <c r="BC43" i="35"/>
  <c r="BC45" i="35"/>
  <c r="L95" i="35"/>
  <c r="M51" i="35" s="1"/>
  <c r="T73" i="35" s="1"/>
  <c r="K110" i="35"/>
  <c r="K87" i="35"/>
  <c r="L43" i="35" s="1"/>
  <c r="S65" i="35" s="1"/>
  <c r="K120" i="35"/>
  <c r="BC120" i="35" s="1"/>
  <c r="AG112" i="35"/>
  <c r="BC112" i="35" s="1"/>
  <c r="L96" i="35"/>
  <c r="M52" i="35" s="1"/>
  <c r="T74" i="35" s="1"/>
  <c r="K92" i="35"/>
  <c r="L48" i="35" s="1"/>
  <c r="S70" i="35" s="1"/>
  <c r="L119" i="35"/>
  <c r="AH99" i="35"/>
  <c r="K115" i="35"/>
  <c r="AG52" i="35"/>
  <c r="AN74" i="35" s="1"/>
  <c r="AH122" i="35"/>
  <c r="BD122" i="35" s="1"/>
  <c r="L49" i="35"/>
  <c r="S71" i="35" s="1"/>
  <c r="AG89" i="35"/>
  <c r="AH45" i="35" s="1"/>
  <c r="AG110" i="35"/>
  <c r="K97" i="35"/>
  <c r="L53" i="35" s="1"/>
  <c r="S75" i="35" s="1"/>
  <c r="AG87" i="35"/>
  <c r="L113" i="35"/>
  <c r="BD113" i="35" s="1"/>
  <c r="AH53" i="35"/>
  <c r="AO75" i="35" s="1"/>
  <c r="O88" i="35"/>
  <c r="M122" i="35"/>
  <c r="AG50" i="35"/>
  <c r="AN72" i="35" s="1"/>
  <c r="AF86" i="35"/>
  <c r="M45" i="35"/>
  <c r="T67" i="35" s="1"/>
  <c r="L47" i="35"/>
  <c r="S69" i="35" s="1"/>
  <c r="AI121" i="35"/>
  <c r="L56" i="35"/>
  <c r="S78" i="35" s="1"/>
  <c r="AI56" i="35"/>
  <c r="AP78" i="35" s="1"/>
  <c r="AG48" i="35"/>
  <c r="AN70" i="35" s="1"/>
  <c r="L109" i="35"/>
  <c r="O111" i="35"/>
  <c r="M99" i="35"/>
  <c r="AJ101" i="35"/>
  <c r="AH111" i="35"/>
  <c r="BD111" i="35" s="1"/>
  <c r="AF109" i="35"/>
  <c r="BB109" i="35" s="1"/>
  <c r="L121" i="35"/>
  <c r="BD121" i="35" s="1"/>
  <c r="AH91" i="35"/>
  <c r="AI98" i="35"/>
  <c r="M94" i="35"/>
  <c r="L86" i="35"/>
  <c r="AJ124" i="35"/>
  <c r="AH88" i="35"/>
  <c r="L98" i="35"/>
  <c r="AH114" i="35"/>
  <c r="M117" i="35"/>
  <c r="AI46" i="35"/>
  <c r="AI51" i="35"/>
  <c r="AJ93" i="35"/>
  <c r="M90" i="35"/>
  <c r="AI118" i="35" l="1"/>
  <c r="AP73" i="35"/>
  <c r="AI113" i="35"/>
  <c r="AP68" i="35"/>
  <c r="BD45" i="35"/>
  <c r="AO67" i="35"/>
  <c r="BC110" i="35"/>
  <c r="M118" i="35"/>
  <c r="BE51" i="35"/>
  <c r="BC50" i="35"/>
  <c r="BC52" i="35"/>
  <c r="L87" i="35"/>
  <c r="M43" i="35" s="1"/>
  <c r="T65" i="35" s="1"/>
  <c r="BC48" i="35"/>
  <c r="M113" i="35"/>
  <c r="BE46" i="35"/>
  <c r="L100" i="35"/>
  <c r="M56" i="35" s="1"/>
  <c r="T78" i="35" s="1"/>
  <c r="BD56" i="35"/>
  <c r="L97" i="35"/>
  <c r="M53" i="35" s="1"/>
  <c r="T75" i="35" s="1"/>
  <c r="BD53" i="35"/>
  <c r="BD47" i="35"/>
  <c r="L93" i="35"/>
  <c r="M49" i="35" s="1"/>
  <c r="T71" i="35" s="1"/>
  <c r="BD49" i="35"/>
  <c r="BE57" i="35"/>
  <c r="AI55" i="35"/>
  <c r="AP77" i="35" s="1"/>
  <c r="AG96" i="35"/>
  <c r="M96" i="35"/>
  <c r="N52" i="35" s="1"/>
  <c r="U74" i="35" s="1"/>
  <c r="L91" i="35"/>
  <c r="M47" i="35" s="1"/>
  <c r="T69" i="35" s="1"/>
  <c r="AH97" i="35"/>
  <c r="AI53" i="35" s="1"/>
  <c r="AG119" i="35"/>
  <c r="BC119" i="35" s="1"/>
  <c r="AH89" i="35"/>
  <c r="AI45" i="35" s="1"/>
  <c r="AH43" i="35"/>
  <c r="AO65" i="35" s="1"/>
  <c r="M119" i="35"/>
  <c r="L114" i="35"/>
  <c r="BD114" i="35" s="1"/>
  <c r="AG117" i="35"/>
  <c r="BC117" i="35" s="1"/>
  <c r="L116" i="35"/>
  <c r="BD116" i="35" s="1"/>
  <c r="AG115" i="35"/>
  <c r="BC115" i="35" s="1"/>
  <c r="M54" i="35"/>
  <c r="T76" i="35" s="1"/>
  <c r="AI44" i="35"/>
  <c r="AP66" i="35" s="1"/>
  <c r="AJ54" i="35"/>
  <c r="AQ76" i="35" s="1"/>
  <c r="L92" i="35"/>
  <c r="AI47" i="35"/>
  <c r="AP69" i="35" s="1"/>
  <c r="AK57" i="35"/>
  <c r="AR79" i="35" s="1"/>
  <c r="AI100" i="35"/>
  <c r="L123" i="35"/>
  <c r="BD123" i="35" s="1"/>
  <c r="AG42" i="35"/>
  <c r="AN64" i="35" s="1"/>
  <c r="M124" i="35"/>
  <c r="BE124" i="35" s="1"/>
  <c r="AH112" i="35"/>
  <c r="BD112" i="35" s="1"/>
  <c r="AH120" i="35"/>
  <c r="N50" i="35"/>
  <c r="U72" i="35" s="1"/>
  <c r="P44" i="35"/>
  <c r="W66" i="35" s="1"/>
  <c r="M42" i="35"/>
  <c r="T64" i="35" s="1"/>
  <c r="M112" i="35"/>
  <c r="L115" i="35"/>
  <c r="L120" i="35"/>
  <c r="L110" i="35"/>
  <c r="N55" i="35"/>
  <c r="U77" i="35" s="1"/>
  <c r="AG92" i="35"/>
  <c r="AI123" i="35"/>
  <c r="M89" i="35"/>
  <c r="AG94" i="35"/>
  <c r="M101" i="35"/>
  <c r="AI95" i="35"/>
  <c r="AK49" i="35"/>
  <c r="AR71" i="35" s="1"/>
  <c r="AI90" i="35"/>
  <c r="M95" i="35"/>
  <c r="N46" i="35"/>
  <c r="U68" i="35" s="1"/>
  <c r="BE118" i="35" l="1"/>
  <c r="AI120" i="35"/>
  <c r="AP75" i="35"/>
  <c r="BE45" i="35"/>
  <c r="AP67" i="35"/>
  <c r="BE113" i="35"/>
  <c r="BD43" i="35"/>
  <c r="BC42" i="35"/>
  <c r="BD120" i="35"/>
  <c r="BE44" i="35"/>
  <c r="BE49" i="35"/>
  <c r="P88" i="35"/>
  <c r="Q44" i="35" s="1"/>
  <c r="M87" i="35"/>
  <c r="N43" i="35" s="1"/>
  <c r="U65" i="35" s="1"/>
  <c r="BE54" i="35"/>
  <c r="BE47" i="35"/>
  <c r="AI99" i="35"/>
  <c r="AJ55" i="35" s="1"/>
  <c r="BE55" i="35"/>
  <c r="M100" i="35"/>
  <c r="N56" i="35" s="1"/>
  <c r="U78" i="35" s="1"/>
  <c r="BE56" i="35"/>
  <c r="BE53" i="35"/>
  <c r="M97" i="35"/>
  <c r="N53" i="35" s="1"/>
  <c r="U75" i="35" s="1"/>
  <c r="AI88" i="35"/>
  <c r="AJ44" i="35" s="1"/>
  <c r="AQ66" i="35" s="1"/>
  <c r="AI111" i="35"/>
  <c r="BE111" i="35" s="1"/>
  <c r="AH52" i="35"/>
  <c r="AO74" i="35" s="1"/>
  <c r="AI122" i="35"/>
  <c r="BE122" i="35" s="1"/>
  <c r="AI114" i="35"/>
  <c r="M116" i="35"/>
  <c r="BE116" i="35" s="1"/>
  <c r="N119" i="35"/>
  <c r="M120" i="35"/>
  <c r="BE120" i="35" s="1"/>
  <c r="M93" i="35"/>
  <c r="N49" i="35" s="1"/>
  <c r="U71" i="35" s="1"/>
  <c r="N122" i="35"/>
  <c r="AG86" i="35"/>
  <c r="AH42" i="35" s="1"/>
  <c r="M91" i="35"/>
  <c r="N47" i="35" s="1"/>
  <c r="U69" i="35" s="1"/>
  <c r="AH110" i="35"/>
  <c r="BD110" i="35" s="1"/>
  <c r="N94" i="35"/>
  <c r="O50" i="35" s="1"/>
  <c r="V72" i="35" s="1"/>
  <c r="AH87" i="35"/>
  <c r="M109" i="35"/>
  <c r="N117" i="35"/>
  <c r="AI91" i="35"/>
  <c r="AJ47" i="35" s="1"/>
  <c r="AQ69" i="35" s="1"/>
  <c r="AH50" i="35"/>
  <c r="AO72" i="35" s="1"/>
  <c r="N99" i="35"/>
  <c r="M86" i="35"/>
  <c r="AG109" i="35"/>
  <c r="BC109" i="35" s="1"/>
  <c r="AJ56" i="35"/>
  <c r="AQ78" i="35" s="1"/>
  <c r="M110" i="35"/>
  <c r="AJ98" i="35"/>
  <c r="AI112" i="35"/>
  <c r="BE112" i="35" s="1"/>
  <c r="N45" i="35"/>
  <c r="U67" i="35" s="1"/>
  <c r="AK101" i="35"/>
  <c r="M48" i="35"/>
  <c r="T70" i="35" s="1"/>
  <c r="M121" i="35"/>
  <c r="BE121" i="35" s="1"/>
  <c r="N57" i="35"/>
  <c r="U79" i="35" s="1"/>
  <c r="AH48" i="35"/>
  <c r="AO70" i="35" s="1"/>
  <c r="AI97" i="35"/>
  <c r="AJ53" i="35" s="1"/>
  <c r="M123" i="35"/>
  <c r="BE123" i="35" s="1"/>
  <c r="P111" i="35"/>
  <c r="AK124" i="35"/>
  <c r="AI89" i="35"/>
  <c r="AJ121" i="35"/>
  <c r="N96" i="35"/>
  <c r="M98" i="35"/>
  <c r="M114" i="35"/>
  <c r="AK93" i="35"/>
  <c r="AJ46" i="35"/>
  <c r="AK116" i="35"/>
  <c r="AJ51" i="35"/>
  <c r="N51" i="35"/>
  <c r="U73" i="35" s="1"/>
  <c r="N90" i="35"/>
  <c r="N113" i="35"/>
  <c r="N97" i="35" l="1"/>
  <c r="AJ120" i="35"/>
  <c r="AQ75" i="35"/>
  <c r="AJ99" i="35"/>
  <c r="AK55" i="35" s="1"/>
  <c r="AQ77" i="35"/>
  <c r="BD42" i="35"/>
  <c r="AO64" i="35"/>
  <c r="AJ118" i="35"/>
  <c r="AQ73" i="35"/>
  <c r="AJ113" i="35"/>
  <c r="BF113" i="35" s="1"/>
  <c r="AQ68" i="35"/>
  <c r="BE114" i="35"/>
  <c r="AH96" i="35"/>
  <c r="AI52" i="35" s="1"/>
  <c r="BD52" i="35"/>
  <c r="BD48" i="35"/>
  <c r="BD50" i="35"/>
  <c r="BF49" i="35"/>
  <c r="N110" i="35"/>
  <c r="N120" i="35"/>
  <c r="BF120" i="35" s="1"/>
  <c r="BF53" i="35"/>
  <c r="BF56" i="35"/>
  <c r="BF44" i="35"/>
  <c r="BF47" i="35"/>
  <c r="BF55" i="35"/>
  <c r="N118" i="35"/>
  <c r="BF51" i="35"/>
  <c r="Q88" i="35"/>
  <c r="R44" i="35" s="1"/>
  <c r="BF46" i="35"/>
  <c r="BF57" i="35"/>
  <c r="AJ97" i="35"/>
  <c r="AK53" i="35" s="1"/>
  <c r="N93" i="35"/>
  <c r="O49" i="35" s="1"/>
  <c r="V71" i="35" s="1"/>
  <c r="N116" i="35"/>
  <c r="BF116" i="35" s="1"/>
  <c r="O94" i="35"/>
  <c r="P50" i="35" s="1"/>
  <c r="W72" i="35" s="1"/>
  <c r="AJ88" i="35"/>
  <c r="AK44" i="35" s="1"/>
  <c r="AR66" i="35" s="1"/>
  <c r="AJ122" i="35"/>
  <c r="BF122" i="35" s="1"/>
  <c r="AJ123" i="35"/>
  <c r="AJ111" i="35"/>
  <c r="BF111" i="35" s="1"/>
  <c r="AH119" i="35"/>
  <c r="BD119" i="35" s="1"/>
  <c r="M115" i="35"/>
  <c r="N87" i="35"/>
  <c r="O43" i="35" s="1"/>
  <c r="V65" i="35" s="1"/>
  <c r="N101" i="35"/>
  <c r="O57" i="35" s="1"/>
  <c r="V79" i="35" s="1"/>
  <c r="M92" i="35"/>
  <c r="N48" i="35" s="1"/>
  <c r="U70" i="35" s="1"/>
  <c r="AJ100" i="35"/>
  <c r="AK56" i="35" s="1"/>
  <c r="AR78" i="35" s="1"/>
  <c r="AH109" i="35"/>
  <c r="BD109" i="35" s="1"/>
  <c r="N124" i="35"/>
  <c r="BF124" i="35" s="1"/>
  <c r="AH115" i="35"/>
  <c r="BD115" i="35" s="1"/>
  <c r="N114" i="35"/>
  <c r="O117" i="35"/>
  <c r="AH94" i="35"/>
  <c r="AI50" i="35" s="1"/>
  <c r="AI43" i="35"/>
  <c r="AP65" i="35" s="1"/>
  <c r="AH92" i="35"/>
  <c r="AI48" i="35" s="1"/>
  <c r="AP70" i="35" s="1"/>
  <c r="N112" i="35"/>
  <c r="N91" i="35"/>
  <c r="O47" i="35" s="1"/>
  <c r="V69" i="35" s="1"/>
  <c r="AH117" i="35"/>
  <c r="BD117" i="35" s="1"/>
  <c r="O52" i="35"/>
  <c r="V74" i="35" s="1"/>
  <c r="O55" i="35"/>
  <c r="V77" i="35" s="1"/>
  <c r="N123" i="35"/>
  <c r="AJ114" i="35"/>
  <c r="AJ45" i="35"/>
  <c r="AQ67" i="35" s="1"/>
  <c r="AL57" i="35"/>
  <c r="N89" i="35"/>
  <c r="AK54" i="35"/>
  <c r="AR76" i="35" s="1"/>
  <c r="AJ91" i="35"/>
  <c r="Q111" i="35"/>
  <c r="N54" i="35"/>
  <c r="U76" i="35" s="1"/>
  <c r="N100" i="35"/>
  <c r="N42" i="35"/>
  <c r="U64" i="35" s="1"/>
  <c r="AH86" i="35"/>
  <c r="AJ95" i="35"/>
  <c r="AJ90" i="35"/>
  <c r="AL49" i="35"/>
  <c r="O53" i="35"/>
  <c r="V75" i="35" s="1"/>
  <c r="O46" i="35"/>
  <c r="V68" i="35" s="1"/>
  <c r="N95" i="35"/>
  <c r="AK99" i="35" l="1"/>
  <c r="AK122" i="35"/>
  <c r="AR77" i="35"/>
  <c r="BE50" i="35"/>
  <c r="AP72" i="35"/>
  <c r="AK120" i="35"/>
  <c r="AR75" i="35"/>
  <c r="BE52" i="35"/>
  <c r="AP74" i="35"/>
  <c r="AL93" i="35"/>
  <c r="AS71" i="35"/>
  <c r="AL101" i="35"/>
  <c r="AM57" i="35" s="1"/>
  <c r="AM101" i="35" s="1"/>
  <c r="AS79" i="35"/>
  <c r="AI96" i="35"/>
  <c r="AJ52" i="35" s="1"/>
  <c r="BF118" i="35"/>
  <c r="AI119" i="35"/>
  <c r="BE119" i="35" s="1"/>
  <c r="BF123" i="35"/>
  <c r="BE48" i="35"/>
  <c r="O113" i="35"/>
  <c r="BF114" i="35"/>
  <c r="O120" i="35"/>
  <c r="BG120" i="35" s="1"/>
  <c r="BG53" i="35"/>
  <c r="R88" i="35"/>
  <c r="S44" i="35" s="1"/>
  <c r="BF54" i="35"/>
  <c r="BE43" i="35"/>
  <c r="O110" i="35"/>
  <c r="BG44" i="35"/>
  <c r="BG55" i="35"/>
  <c r="P94" i="35"/>
  <c r="Q50" i="35" s="1"/>
  <c r="O116" i="35"/>
  <c r="BG116" i="35" s="1"/>
  <c r="BG49" i="35"/>
  <c r="BF45" i="35"/>
  <c r="BG57" i="35"/>
  <c r="AK123" i="35"/>
  <c r="N115" i="35"/>
  <c r="N92" i="35"/>
  <c r="O48" i="35" s="1"/>
  <c r="V70" i="35" s="1"/>
  <c r="O87" i="35"/>
  <c r="P43" i="35" s="1"/>
  <c r="W65" i="35" s="1"/>
  <c r="AK100" i="35"/>
  <c r="AL56" i="35" s="1"/>
  <c r="AL124" i="35"/>
  <c r="AL116" i="35"/>
  <c r="AK88" i="35"/>
  <c r="AL44" i="35" s="1"/>
  <c r="AS66" i="35" s="1"/>
  <c r="O114" i="35"/>
  <c r="AI94" i="35"/>
  <c r="AJ50" i="35" s="1"/>
  <c r="AJ89" i="35"/>
  <c r="AK45" i="35" s="1"/>
  <c r="AK111" i="35"/>
  <c r="BG111" i="35" s="1"/>
  <c r="O91" i="35"/>
  <c r="P47" i="35" s="1"/>
  <c r="W69" i="35" s="1"/>
  <c r="N109" i="35"/>
  <c r="N98" i="35"/>
  <c r="O54" i="35" s="1"/>
  <c r="V76" i="35" s="1"/>
  <c r="AJ112" i="35"/>
  <c r="BF112" i="35" s="1"/>
  <c r="AI110" i="35"/>
  <c r="BE110" i="35" s="1"/>
  <c r="R111" i="35"/>
  <c r="N86" i="35"/>
  <c r="O42" i="35" s="1"/>
  <c r="V64" i="35" s="1"/>
  <c r="N121" i="35"/>
  <c r="BF121" i="35" s="1"/>
  <c r="O96" i="35"/>
  <c r="P52" i="35" s="1"/>
  <c r="W74" i="35" s="1"/>
  <c r="AI87" i="35"/>
  <c r="AK98" i="35"/>
  <c r="AL54" i="35" s="1"/>
  <c r="O45" i="35"/>
  <c r="V67" i="35" s="1"/>
  <c r="AI92" i="35"/>
  <c r="AJ119" i="35"/>
  <c r="BF119" i="35" s="1"/>
  <c r="AK47" i="35"/>
  <c r="AR69" i="35" s="1"/>
  <c r="AI42" i="35"/>
  <c r="AP64" i="35" s="1"/>
  <c r="O56" i="35"/>
  <c r="V78" i="35" s="1"/>
  <c r="AK121" i="35"/>
  <c r="P117" i="35"/>
  <c r="O124" i="35"/>
  <c r="BG124" i="35" s="1"/>
  <c r="AI117" i="35"/>
  <c r="BE117" i="35" s="1"/>
  <c r="AI115" i="35"/>
  <c r="BE115" i="35" s="1"/>
  <c r="O99" i="35"/>
  <c r="O119" i="35"/>
  <c r="O101" i="35"/>
  <c r="O122" i="35"/>
  <c r="BG122" i="35" s="1"/>
  <c r="AM49" i="35"/>
  <c r="AM93" i="35" s="1"/>
  <c r="AK97" i="35"/>
  <c r="AL55" i="35"/>
  <c r="AK46" i="35"/>
  <c r="AK51" i="35"/>
  <c r="O97" i="35"/>
  <c r="O51" i="35"/>
  <c r="V73" i="35" s="1"/>
  <c r="O93" i="35"/>
  <c r="O90" i="35"/>
  <c r="AJ96" i="35" l="1"/>
  <c r="AK118" i="35"/>
  <c r="AR73" i="35"/>
  <c r="AK113" i="35"/>
  <c r="BG113" i="35" s="1"/>
  <c r="AR68" i="35"/>
  <c r="AL99" i="35"/>
  <c r="AM55" i="35" s="1"/>
  <c r="AM99" i="35" s="1"/>
  <c r="AS77" i="35"/>
  <c r="AL98" i="35"/>
  <c r="AM54" i="35" s="1"/>
  <c r="AM98" i="35" s="1"/>
  <c r="AN54" i="35" s="1"/>
  <c r="AN98" i="35" s="1"/>
  <c r="AO54" i="35" s="1"/>
  <c r="AO98" i="35" s="1"/>
  <c r="AS76" i="35"/>
  <c r="AK112" i="35"/>
  <c r="AR67" i="35"/>
  <c r="BF50" i="35"/>
  <c r="AQ72" i="35"/>
  <c r="AL100" i="35"/>
  <c r="AM56" i="35" s="1"/>
  <c r="AM100" i="35" s="1"/>
  <c r="AN56" i="35" s="1"/>
  <c r="AN100" i="35" s="1"/>
  <c r="AS78" i="35"/>
  <c r="BF52" i="35"/>
  <c r="AQ74" i="35"/>
  <c r="BG51" i="35"/>
  <c r="Q94" i="35"/>
  <c r="P96" i="35"/>
  <c r="Q52" i="35" s="1"/>
  <c r="P91" i="35"/>
  <c r="Q47" i="35" s="1"/>
  <c r="BG47" i="35"/>
  <c r="BG54" i="35"/>
  <c r="O89" i="35"/>
  <c r="P45" i="35" s="1"/>
  <c r="W67" i="35" s="1"/>
  <c r="BG45" i="35"/>
  <c r="AL88" i="35"/>
  <c r="AM44" i="35" s="1"/>
  <c r="BH44" i="35"/>
  <c r="P87" i="35"/>
  <c r="Q43" i="35" s="1"/>
  <c r="BG46" i="35"/>
  <c r="O100" i="35"/>
  <c r="P56" i="35" s="1"/>
  <c r="W78" i="35" s="1"/>
  <c r="BG56" i="35"/>
  <c r="BE42" i="35"/>
  <c r="S88" i="35"/>
  <c r="T44" i="35" s="1"/>
  <c r="AL123" i="35"/>
  <c r="AJ94" i="35"/>
  <c r="AK50" i="35" s="1"/>
  <c r="AR72" i="35" s="1"/>
  <c r="O86" i="35"/>
  <c r="P42" i="35" s="1"/>
  <c r="W64" i="35" s="1"/>
  <c r="O115" i="35"/>
  <c r="O121" i="35"/>
  <c r="BG121" i="35" s="1"/>
  <c r="O98" i="35"/>
  <c r="P54" i="35" s="1"/>
  <c r="W76" i="35" s="1"/>
  <c r="AI109" i="35"/>
  <c r="BE109" i="35" s="1"/>
  <c r="O92" i="35"/>
  <c r="P48" i="35" s="1"/>
  <c r="W70" i="35" s="1"/>
  <c r="P119" i="35"/>
  <c r="AL122" i="35"/>
  <c r="AL111" i="35"/>
  <c r="BH111" i="35" s="1"/>
  <c r="AJ43" i="35"/>
  <c r="AQ65" i="35" s="1"/>
  <c r="P57" i="35"/>
  <c r="W79" i="35" s="1"/>
  <c r="AJ117" i="35"/>
  <c r="BF117" i="35" s="1"/>
  <c r="AL121" i="35"/>
  <c r="P55" i="35"/>
  <c r="W77" i="35" s="1"/>
  <c r="AK52" i="35"/>
  <c r="AR74" i="35" s="1"/>
  <c r="AM116" i="35"/>
  <c r="Q117" i="35"/>
  <c r="AK89" i="35"/>
  <c r="AM124" i="35"/>
  <c r="O123" i="35"/>
  <c r="BG123" i="35" s="1"/>
  <c r="AK91" i="35"/>
  <c r="O109" i="35"/>
  <c r="S111" i="35"/>
  <c r="R50" i="35"/>
  <c r="AN57" i="35"/>
  <c r="AN101" i="35" s="1"/>
  <c r="AI86" i="35"/>
  <c r="AK114" i="35"/>
  <c r="BG114" i="35" s="1"/>
  <c r="AJ48" i="35"/>
  <c r="AQ70" i="35" s="1"/>
  <c r="P114" i="35"/>
  <c r="O112" i="35"/>
  <c r="BG112" i="35" s="1"/>
  <c r="AK95" i="35"/>
  <c r="AL53" i="35"/>
  <c r="AK90" i="35"/>
  <c r="AN49" i="35"/>
  <c r="AN93" i="35" s="1"/>
  <c r="P46" i="35"/>
  <c r="W68" i="35" s="1"/>
  <c r="O95" i="35"/>
  <c r="P110" i="35"/>
  <c r="P49" i="35"/>
  <c r="W71" i="35" s="1"/>
  <c r="O118" i="35"/>
  <c r="BG118" i="35" s="1"/>
  <c r="P53" i="35"/>
  <c r="W75" i="35" s="1"/>
  <c r="AM123" i="35" l="1"/>
  <c r="AL97" i="35"/>
  <c r="AS75" i="35"/>
  <c r="P90" i="35"/>
  <c r="Q46" i="35" s="1"/>
  <c r="P89" i="35"/>
  <c r="Q45" i="35" s="1"/>
  <c r="Q112" i="35" s="1"/>
  <c r="P97" i="35"/>
  <c r="Q53" i="35" s="1"/>
  <c r="BH53" i="35"/>
  <c r="AM88" i="35"/>
  <c r="AN44" i="35" s="1"/>
  <c r="BI44" i="35"/>
  <c r="P100" i="35"/>
  <c r="Q56" i="35" s="1"/>
  <c r="BH56" i="35"/>
  <c r="BF48" i="35"/>
  <c r="R94" i="35"/>
  <c r="S50" i="35" s="1"/>
  <c r="BG52" i="35"/>
  <c r="P92" i="35"/>
  <c r="Q48" i="35" s="1"/>
  <c r="Q87" i="35"/>
  <c r="R43" i="35" s="1"/>
  <c r="T88" i="35"/>
  <c r="U44" i="35" s="1"/>
  <c r="Q91" i="35"/>
  <c r="R47" i="35" s="1"/>
  <c r="P109" i="35"/>
  <c r="P98" i="35"/>
  <c r="Q54" i="35" s="1"/>
  <c r="BH54" i="35"/>
  <c r="BG50" i="35"/>
  <c r="AJ87" i="35"/>
  <c r="AK43" i="35" s="1"/>
  <c r="AR65" i="35" s="1"/>
  <c r="BF43" i="35"/>
  <c r="P93" i="35"/>
  <c r="Q49" i="35" s="1"/>
  <c r="BH49" i="35"/>
  <c r="P99" i="35"/>
  <c r="Q55" i="35" s="1"/>
  <c r="BH55" i="35"/>
  <c r="Q96" i="35"/>
  <c r="R52" i="35" s="1"/>
  <c r="P101" i="35"/>
  <c r="Q57" i="35" s="1"/>
  <c r="BH57" i="35"/>
  <c r="AM121" i="35"/>
  <c r="AN121" i="35"/>
  <c r="AJ92" i="35"/>
  <c r="AK48" i="35" s="1"/>
  <c r="AR70" i="35" s="1"/>
  <c r="P86" i="35"/>
  <c r="Q42" i="35" s="1"/>
  <c r="P123" i="35"/>
  <c r="BH123" i="35" s="1"/>
  <c r="AN116" i="35"/>
  <c r="T111" i="35"/>
  <c r="AJ115" i="35"/>
  <c r="BF115" i="35" s="1"/>
  <c r="AN124" i="35"/>
  <c r="AL120" i="35"/>
  <c r="P122" i="35"/>
  <c r="BH122" i="35" s="1"/>
  <c r="AJ110" i="35"/>
  <c r="BF110" i="35" s="1"/>
  <c r="AM111" i="35"/>
  <c r="BI111" i="35" s="1"/>
  <c r="AK96" i="35"/>
  <c r="AL52" i="35" s="1"/>
  <c r="AS74" i="35" s="1"/>
  <c r="AJ42" i="35"/>
  <c r="AQ64" i="35" s="1"/>
  <c r="P116" i="35"/>
  <c r="BH116" i="35" s="1"/>
  <c r="AO121" i="35"/>
  <c r="AN123" i="35"/>
  <c r="AO57" i="35"/>
  <c r="AO101" i="35" s="1"/>
  <c r="AL47" i="35"/>
  <c r="AS69" i="35" s="1"/>
  <c r="AL45" i="35"/>
  <c r="AK94" i="35"/>
  <c r="AL50" i="35" s="1"/>
  <c r="AS72" i="35" s="1"/>
  <c r="AK117" i="35"/>
  <c r="BG117" i="35" s="1"/>
  <c r="Q119" i="35"/>
  <c r="P121" i="35"/>
  <c r="BH121" i="35" s="1"/>
  <c r="P124" i="35"/>
  <c r="BH124" i="35" s="1"/>
  <c r="P112" i="35"/>
  <c r="R117" i="35"/>
  <c r="Q114" i="35"/>
  <c r="AK119" i="35"/>
  <c r="BG119" i="35" s="1"/>
  <c r="P115" i="35"/>
  <c r="AM53" i="35"/>
  <c r="AM97" i="35" s="1"/>
  <c r="AL51" i="35"/>
  <c r="AO49" i="35"/>
  <c r="AO93" i="35" s="1"/>
  <c r="AP54" i="35"/>
  <c r="AP98" i="35" s="1"/>
  <c r="AO56" i="35"/>
  <c r="AO100" i="35" s="1"/>
  <c r="AM122" i="35"/>
  <c r="AN55" i="35"/>
  <c r="AN99" i="35" s="1"/>
  <c r="AL46" i="35"/>
  <c r="Q110" i="35"/>
  <c r="P51" i="35"/>
  <c r="W73" i="35" s="1"/>
  <c r="P120" i="35"/>
  <c r="P113" i="35"/>
  <c r="AL95" i="35" l="1"/>
  <c r="AS73" i="35"/>
  <c r="AL89" i="35"/>
  <c r="AM45" i="35" s="1"/>
  <c r="AM89" i="35" s="1"/>
  <c r="AN45" i="35" s="1"/>
  <c r="AN89" i="35" s="1"/>
  <c r="AO45" i="35" s="1"/>
  <c r="AO89" i="35" s="1"/>
  <c r="AS67" i="35"/>
  <c r="BH120" i="35"/>
  <c r="AL90" i="35"/>
  <c r="AM46" i="35" s="1"/>
  <c r="AM90" i="35" s="1"/>
  <c r="AS68" i="35"/>
  <c r="BH45" i="35"/>
  <c r="R96" i="35"/>
  <c r="S52" i="35" s="1"/>
  <c r="R87" i="35"/>
  <c r="S43" i="35" s="1"/>
  <c r="R91" i="35"/>
  <c r="S47" i="35" s="1"/>
  <c r="AL94" i="35"/>
  <c r="AM50" i="35" s="1"/>
  <c r="BH50" i="35"/>
  <c r="U88" i="35"/>
  <c r="V44" i="35" s="1"/>
  <c r="Q92" i="35"/>
  <c r="R48" i="35" s="1"/>
  <c r="Q109" i="35"/>
  <c r="Q89" i="35"/>
  <c r="AJ86" i="35"/>
  <c r="AK42" i="35" s="1"/>
  <c r="AR64" i="35" s="1"/>
  <c r="BF42" i="35"/>
  <c r="S94" i="35"/>
  <c r="T50" i="35" s="1"/>
  <c r="BG48" i="35"/>
  <c r="BH46" i="35"/>
  <c r="Q90" i="35"/>
  <c r="R46" i="35" s="1"/>
  <c r="AL96" i="35"/>
  <c r="AM52" i="35" s="1"/>
  <c r="BH52" i="35"/>
  <c r="P95" i="35"/>
  <c r="Q51" i="35" s="1"/>
  <c r="BH51" i="35"/>
  <c r="Q98" i="35"/>
  <c r="R54" i="35" s="1"/>
  <c r="BI54" i="35"/>
  <c r="Q97" i="35"/>
  <c r="R53" i="35" s="1"/>
  <c r="BI53" i="35"/>
  <c r="Q93" i="35"/>
  <c r="R49" i="35" s="1"/>
  <c r="BI49" i="35"/>
  <c r="Q99" i="35"/>
  <c r="R55" i="35" s="1"/>
  <c r="BI55" i="35"/>
  <c r="AL91" i="35"/>
  <c r="AM47" i="35" s="1"/>
  <c r="BH47" i="35"/>
  <c r="AN88" i="35"/>
  <c r="AO44" i="35" s="1"/>
  <c r="BJ44" i="35"/>
  <c r="Q100" i="35"/>
  <c r="R56" i="35" s="1"/>
  <c r="BI56" i="35"/>
  <c r="AK87" i="35"/>
  <c r="AL43" i="35" s="1"/>
  <c r="AS65" i="35" s="1"/>
  <c r="BG43" i="35"/>
  <c r="Q101" i="35"/>
  <c r="R57" i="35" s="1"/>
  <c r="BI57" i="35"/>
  <c r="AK115" i="35"/>
  <c r="BG115" i="35" s="1"/>
  <c r="AK92" i="35"/>
  <c r="AL48" i="35" s="1"/>
  <c r="AS70" i="35" s="1"/>
  <c r="Q86" i="35"/>
  <c r="R42" i="35" s="1"/>
  <c r="Q123" i="35"/>
  <c r="BI123" i="35" s="1"/>
  <c r="S117" i="35"/>
  <c r="Q124" i="35"/>
  <c r="BI124" i="35" s="1"/>
  <c r="AO124" i="35"/>
  <c r="AN111" i="35"/>
  <c r="BJ111" i="35" s="1"/>
  <c r="R119" i="35"/>
  <c r="AL119" i="35"/>
  <c r="BH119" i="35" s="1"/>
  <c r="AL114" i="35"/>
  <c r="BH114" i="35" s="1"/>
  <c r="U111" i="35"/>
  <c r="Q115" i="35"/>
  <c r="AL117" i="35"/>
  <c r="BH117" i="35" s="1"/>
  <c r="AK110" i="35"/>
  <c r="BG110" i="35" s="1"/>
  <c r="Q113" i="35"/>
  <c r="AM120" i="35"/>
  <c r="Q121" i="35"/>
  <c r="BI121" i="35" s="1"/>
  <c r="Q122" i="35"/>
  <c r="BI122" i="35" s="1"/>
  <c r="AL112" i="35"/>
  <c r="BH112" i="35" s="1"/>
  <c r="AP57" i="35"/>
  <c r="AP101" i="35" s="1"/>
  <c r="AJ109" i="35"/>
  <c r="BF109" i="35" s="1"/>
  <c r="R114" i="35"/>
  <c r="AP56" i="35"/>
  <c r="AP100" i="35" s="1"/>
  <c r="AM51" i="35"/>
  <c r="AM95" i="35" s="1"/>
  <c r="AO55" i="35"/>
  <c r="AO99" i="35" s="1"/>
  <c r="AL113" i="35"/>
  <c r="BH113" i="35" s="1"/>
  <c r="AP121" i="35"/>
  <c r="AO116" i="35"/>
  <c r="AQ54" i="35"/>
  <c r="AQ98" i="35" s="1"/>
  <c r="AP49" i="35"/>
  <c r="AP93" i="35" s="1"/>
  <c r="AN122" i="35"/>
  <c r="AO123" i="35"/>
  <c r="AL118" i="35"/>
  <c r="AN53" i="35"/>
  <c r="AN97" i="35" s="1"/>
  <c r="Q120" i="35"/>
  <c r="R110" i="35"/>
  <c r="P118" i="35"/>
  <c r="Q116" i="35"/>
  <c r="BI116" i="35" s="1"/>
  <c r="BI120" i="35" l="1"/>
  <c r="AM119" i="35"/>
  <c r="BI119" i="35" s="1"/>
  <c r="AL110" i="35"/>
  <c r="BH110" i="35" s="1"/>
  <c r="BH118" i="35"/>
  <c r="R92" i="35"/>
  <c r="S48" i="35" s="1"/>
  <c r="AM91" i="35"/>
  <c r="AN47" i="35" s="1"/>
  <c r="BI47" i="35"/>
  <c r="R97" i="35"/>
  <c r="S53" i="35" s="1"/>
  <c r="BJ53" i="35"/>
  <c r="R86" i="35"/>
  <c r="S42" i="35" s="1"/>
  <c r="R100" i="35"/>
  <c r="S56" i="35" s="1"/>
  <c r="BJ56" i="35"/>
  <c r="BG42" i="35"/>
  <c r="R93" i="35"/>
  <c r="S49" i="35" s="1"/>
  <c r="BJ49" i="35"/>
  <c r="T94" i="35"/>
  <c r="U50" i="35" s="1"/>
  <c r="V88" i="35"/>
  <c r="W44" i="35" s="1"/>
  <c r="AM94" i="35"/>
  <c r="AN50" i="35" s="1"/>
  <c r="BI50" i="35"/>
  <c r="R90" i="35"/>
  <c r="S46" i="35" s="1"/>
  <c r="R99" i="35"/>
  <c r="S55" i="35" s="1"/>
  <c r="BJ55" i="35"/>
  <c r="S96" i="35"/>
  <c r="T52" i="35" s="1"/>
  <c r="AL92" i="35"/>
  <c r="AM48" i="35" s="1"/>
  <c r="BH48" i="35"/>
  <c r="AM96" i="35"/>
  <c r="AN52" i="35" s="1"/>
  <c r="BI52" i="35"/>
  <c r="BI45" i="35"/>
  <c r="AO88" i="35"/>
  <c r="AP44" i="35" s="1"/>
  <c r="BK44" i="35"/>
  <c r="AL87" i="35"/>
  <c r="AM43" i="35" s="1"/>
  <c r="BH43" i="35"/>
  <c r="BI46" i="35"/>
  <c r="R45" i="35"/>
  <c r="R112" i="35" s="1"/>
  <c r="S87" i="35"/>
  <c r="T43" i="35" s="1"/>
  <c r="Q95" i="35"/>
  <c r="R51" i="35" s="1"/>
  <c r="BI51" i="35"/>
  <c r="R98" i="35"/>
  <c r="S54" i="35" s="1"/>
  <c r="BJ54" i="35"/>
  <c r="AM117" i="35"/>
  <c r="BI117" i="35" s="1"/>
  <c r="S91" i="35"/>
  <c r="T47" i="35" s="1"/>
  <c r="R101" i="35"/>
  <c r="S57" i="35" s="1"/>
  <c r="BJ57" i="35"/>
  <c r="AL115" i="35"/>
  <c r="BH115" i="35" s="1"/>
  <c r="R115" i="35"/>
  <c r="R122" i="35"/>
  <c r="BJ122" i="35" s="1"/>
  <c r="S119" i="35"/>
  <c r="AO111" i="35"/>
  <c r="BK111" i="35" s="1"/>
  <c r="AM114" i="35"/>
  <c r="BI114" i="35" s="1"/>
  <c r="S114" i="35"/>
  <c r="R123" i="35"/>
  <c r="BJ123" i="35" s="1"/>
  <c r="R109" i="35"/>
  <c r="AP124" i="35"/>
  <c r="S110" i="35"/>
  <c r="AK86" i="35"/>
  <c r="AL42" i="35" s="1"/>
  <c r="AS64" i="35" s="1"/>
  <c r="AO112" i="35"/>
  <c r="R120" i="35"/>
  <c r="AN112" i="35"/>
  <c r="AQ57" i="35"/>
  <c r="AQ101" i="35" s="1"/>
  <c r="AK109" i="35"/>
  <c r="BG109" i="35" s="1"/>
  <c r="V111" i="35"/>
  <c r="R124" i="35"/>
  <c r="BJ124" i="35" s="1"/>
  <c r="AN120" i="35"/>
  <c r="AM118" i="35"/>
  <c r="AP123" i="35"/>
  <c r="AM112" i="35"/>
  <c r="BI112" i="35" s="1"/>
  <c r="R121" i="35"/>
  <c r="BJ121" i="35" s="1"/>
  <c r="T117" i="35"/>
  <c r="AP55" i="35"/>
  <c r="AP99" i="35" s="1"/>
  <c r="AQ49" i="35"/>
  <c r="AQ93" i="35" s="1"/>
  <c r="AR54" i="35"/>
  <c r="AR98" i="35" s="1"/>
  <c r="AN46" i="35"/>
  <c r="AN90" i="35" s="1"/>
  <c r="AQ121" i="35"/>
  <c r="AM113" i="35"/>
  <c r="BI113" i="35" s="1"/>
  <c r="AN51" i="35"/>
  <c r="AN95" i="35" s="1"/>
  <c r="AQ56" i="35"/>
  <c r="AQ100" i="35" s="1"/>
  <c r="AO53" i="35"/>
  <c r="AO97" i="35" s="1"/>
  <c r="AP116" i="35"/>
  <c r="AO122" i="35"/>
  <c r="AP45" i="35"/>
  <c r="AP89" i="35" s="1"/>
  <c r="R116" i="35"/>
  <c r="BJ116" i="35" s="1"/>
  <c r="R113" i="35"/>
  <c r="Q118" i="35"/>
  <c r="BI118" i="35" l="1"/>
  <c r="S123" i="35"/>
  <c r="BK123" i="35" s="1"/>
  <c r="AN119" i="35"/>
  <c r="BJ119" i="35" s="1"/>
  <c r="AN117" i="35"/>
  <c r="BJ117" i="35" s="1"/>
  <c r="S99" i="35"/>
  <c r="BK55" i="35"/>
  <c r="T87" i="35"/>
  <c r="U43" i="35" s="1"/>
  <c r="S93" i="35"/>
  <c r="T49" i="35" s="1"/>
  <c r="BK49" i="35"/>
  <c r="BJ120" i="35"/>
  <c r="S92" i="35"/>
  <c r="T48" i="35" s="1"/>
  <c r="AL86" i="35"/>
  <c r="AM42" i="35" s="1"/>
  <c r="BH42" i="35"/>
  <c r="AM115" i="35"/>
  <c r="BI115" i="35" s="1"/>
  <c r="BJ112" i="35"/>
  <c r="AM87" i="35"/>
  <c r="AN43" i="35" s="1"/>
  <c r="BI43" i="35"/>
  <c r="BJ46" i="35"/>
  <c r="AN94" i="35"/>
  <c r="AO50" i="35" s="1"/>
  <c r="BJ50" i="35"/>
  <c r="T91" i="35"/>
  <c r="T96" i="35"/>
  <c r="U52" i="35" s="1"/>
  <c r="R89" i="35"/>
  <c r="BJ45" i="35"/>
  <c r="AN96" i="35"/>
  <c r="AO52" i="35" s="1"/>
  <c r="BJ52" i="35"/>
  <c r="S90" i="35"/>
  <c r="T46" i="35" s="1"/>
  <c r="AN91" i="35"/>
  <c r="AO47" i="35" s="1"/>
  <c r="BJ47" i="35"/>
  <c r="AM92" i="35"/>
  <c r="AN48" i="35" s="1"/>
  <c r="BI48" i="35"/>
  <c r="S97" i="35"/>
  <c r="T53" i="35" s="1"/>
  <c r="BK53" i="35"/>
  <c r="AP88" i="35"/>
  <c r="BL44" i="35"/>
  <c r="R95" i="35"/>
  <c r="S51" i="35" s="1"/>
  <c r="BJ51" i="35"/>
  <c r="W88" i="35"/>
  <c r="S98" i="35"/>
  <c r="T54" i="35" s="1"/>
  <c r="BK54" i="35"/>
  <c r="AM110" i="35"/>
  <c r="BI110" i="35" s="1"/>
  <c r="U94" i="35"/>
  <c r="S86" i="35"/>
  <c r="T42" i="35" s="1"/>
  <c r="S100" i="35"/>
  <c r="BK56" i="35"/>
  <c r="S101" i="35"/>
  <c r="T57" i="35" s="1"/>
  <c r="BK57" i="35"/>
  <c r="AQ124" i="35"/>
  <c r="AQ123" i="35"/>
  <c r="R118" i="35"/>
  <c r="T114" i="35"/>
  <c r="T119" i="35"/>
  <c r="W111" i="35"/>
  <c r="AN113" i="35"/>
  <c r="BJ113" i="35" s="1"/>
  <c r="S121" i="35"/>
  <c r="BK121" i="35" s="1"/>
  <c r="AP111" i="35"/>
  <c r="BL111" i="35" s="1"/>
  <c r="AN114" i="35"/>
  <c r="BJ114" i="35" s="1"/>
  <c r="V50" i="35"/>
  <c r="S116" i="35"/>
  <c r="BK116" i="35" s="1"/>
  <c r="AP122" i="35"/>
  <c r="T55" i="35"/>
  <c r="AP112" i="35"/>
  <c r="U47" i="35"/>
  <c r="AR57" i="35"/>
  <c r="AR101" i="35" s="1"/>
  <c r="AL109" i="35"/>
  <c r="BH109" i="35" s="1"/>
  <c r="AO120" i="35"/>
  <c r="S124" i="35"/>
  <c r="BK124" i="35" s="1"/>
  <c r="AQ44" i="35"/>
  <c r="S122" i="35"/>
  <c r="BK122" i="35" s="1"/>
  <c r="U117" i="35"/>
  <c r="S115" i="35"/>
  <c r="S109" i="35"/>
  <c r="AQ45" i="35"/>
  <c r="AQ89" i="35" s="1"/>
  <c r="AN118" i="35"/>
  <c r="AR121" i="35"/>
  <c r="AQ116" i="35"/>
  <c r="AO51" i="35"/>
  <c r="AO95" i="35" s="1"/>
  <c r="AS54" i="35"/>
  <c r="AS98" i="35" s="1"/>
  <c r="AR49" i="35"/>
  <c r="AR93" i="35" s="1"/>
  <c r="AP53" i="35"/>
  <c r="AP97" i="35" s="1"/>
  <c r="AR56" i="35"/>
  <c r="AR100" i="35" s="1"/>
  <c r="AO46" i="35"/>
  <c r="AO90" i="35" s="1"/>
  <c r="AQ55" i="35"/>
  <c r="AQ99" i="35" s="1"/>
  <c r="T110" i="35"/>
  <c r="S120" i="35"/>
  <c r="S113" i="35"/>
  <c r="AN115" i="35" l="1"/>
  <c r="BJ115" i="35" s="1"/>
  <c r="AN110" i="35"/>
  <c r="BJ110" i="35" s="1"/>
  <c r="AO119" i="35"/>
  <c r="BK119" i="35" s="1"/>
  <c r="AO117" i="35"/>
  <c r="BK117" i="35" s="1"/>
  <c r="T86" i="35"/>
  <c r="U42" i="35" s="1"/>
  <c r="T93" i="35"/>
  <c r="U49" i="35" s="1"/>
  <c r="BL49" i="35"/>
  <c r="T99" i="35"/>
  <c r="U55" i="35" s="1"/>
  <c r="BL55" i="35"/>
  <c r="S95" i="35"/>
  <c r="T51" i="35" s="1"/>
  <c r="BK51" i="35"/>
  <c r="U87" i="35"/>
  <c r="V43" i="35" s="1"/>
  <c r="AQ88" i="35"/>
  <c r="AR44" i="35" s="1"/>
  <c r="BM44" i="35"/>
  <c r="T92" i="35"/>
  <c r="U48" i="35" s="1"/>
  <c r="AM86" i="35"/>
  <c r="AN42" i="35" s="1"/>
  <c r="BI42" i="35"/>
  <c r="AO96" i="35"/>
  <c r="AP52" i="35" s="1"/>
  <c r="BK52" i="35"/>
  <c r="T90" i="35"/>
  <c r="U46" i="35" s="1"/>
  <c r="AO91" i="35"/>
  <c r="AP47" i="35" s="1"/>
  <c r="BK47" i="35"/>
  <c r="T56" i="35"/>
  <c r="T123" i="35" s="1"/>
  <c r="BL123" i="35" s="1"/>
  <c r="T98" i="35"/>
  <c r="U54" i="35" s="1"/>
  <c r="BL54" i="35"/>
  <c r="U91" i="35"/>
  <c r="V47" i="35" s="1"/>
  <c r="V94" i="35"/>
  <c r="W50" i="35" s="1"/>
  <c r="BJ118" i="35"/>
  <c r="BK46" i="35"/>
  <c r="AN87" i="35"/>
  <c r="AO43" i="35" s="1"/>
  <c r="BJ43" i="35"/>
  <c r="BK120" i="35"/>
  <c r="T97" i="35"/>
  <c r="U53" i="35" s="1"/>
  <c r="BL53" i="35"/>
  <c r="U96" i="35"/>
  <c r="V52" i="35" s="1"/>
  <c r="AN92" i="35"/>
  <c r="AO48" i="35" s="1"/>
  <c r="BJ48" i="35"/>
  <c r="S45" i="35"/>
  <c r="AO94" i="35"/>
  <c r="AP50" i="35" s="1"/>
  <c r="BK50" i="35"/>
  <c r="T101" i="35"/>
  <c r="U57" i="35" s="1"/>
  <c r="BL57" i="35"/>
  <c r="T109" i="35"/>
  <c r="AO110" i="35"/>
  <c r="BK110" i="35" s="1"/>
  <c r="T124" i="35"/>
  <c r="BL124" i="35" s="1"/>
  <c r="AR124" i="35"/>
  <c r="T122" i="35"/>
  <c r="BL122" i="35" s="1"/>
  <c r="AQ111" i="35"/>
  <c r="BM111" i="35" s="1"/>
  <c r="U110" i="35"/>
  <c r="U119" i="35"/>
  <c r="AS57" i="35"/>
  <c r="AS101" i="35" s="1"/>
  <c r="AS121" i="35"/>
  <c r="AO118" i="35"/>
  <c r="AO114" i="35"/>
  <c r="BK114" i="35" s="1"/>
  <c r="U114" i="35"/>
  <c r="V117" i="35"/>
  <c r="S118" i="35"/>
  <c r="AQ122" i="35"/>
  <c r="AR123" i="35"/>
  <c r="T121" i="35"/>
  <c r="BL121" i="35" s="1"/>
  <c r="T115" i="35"/>
  <c r="AM109" i="35"/>
  <c r="BI109" i="35" s="1"/>
  <c r="AR55" i="35"/>
  <c r="AR99" i="35" s="1"/>
  <c r="AP51" i="35"/>
  <c r="AP95" i="35" s="1"/>
  <c r="AQ112" i="35"/>
  <c r="AS56" i="35"/>
  <c r="AS100" i="35" s="1"/>
  <c r="AO113" i="35"/>
  <c r="BK113" i="35" s="1"/>
  <c r="AP120" i="35"/>
  <c r="AR116" i="35"/>
  <c r="AR45" i="35"/>
  <c r="AR89" i="35" s="1"/>
  <c r="AP46" i="35"/>
  <c r="AP90" i="35" s="1"/>
  <c r="AQ53" i="35"/>
  <c r="AQ97" i="35" s="1"/>
  <c r="AS49" i="35"/>
  <c r="AS93" i="35" s="1"/>
  <c r="T113" i="35"/>
  <c r="T116" i="35"/>
  <c r="BL116" i="35" s="1"/>
  <c r="T120" i="35"/>
  <c r="S112" i="35" l="1"/>
  <c r="BK112" i="35" s="1"/>
  <c r="BK118" i="35"/>
  <c r="T95" i="35"/>
  <c r="U51" i="35" s="1"/>
  <c r="BL51" i="35"/>
  <c r="V91" i="35"/>
  <c r="W47" i="35" s="1"/>
  <c r="AP91" i="35"/>
  <c r="AQ47" i="35" s="1"/>
  <c r="BL47" i="35"/>
  <c r="U93" i="35"/>
  <c r="V49" i="35" s="1"/>
  <c r="BM49" i="35"/>
  <c r="W94" i="35"/>
  <c r="U98" i="35"/>
  <c r="BM54" i="35"/>
  <c r="AO92" i="35"/>
  <c r="AP48" i="35" s="1"/>
  <c r="BK48" i="35"/>
  <c r="U86" i="35"/>
  <c r="V42" i="35" s="1"/>
  <c r="BL120" i="35"/>
  <c r="S89" i="35"/>
  <c r="BK45" i="35"/>
  <c r="T100" i="35"/>
  <c r="BL56" i="35"/>
  <c r="AN86" i="35"/>
  <c r="BJ42" i="35"/>
  <c r="AP94" i="35"/>
  <c r="AQ50" i="35" s="1"/>
  <c r="BL50" i="35"/>
  <c r="AP96" i="35"/>
  <c r="AQ52" i="35" s="1"/>
  <c r="BL52" i="35"/>
  <c r="AR88" i="35"/>
  <c r="AS44" i="35" s="1"/>
  <c r="BN44" i="35"/>
  <c r="U92" i="35"/>
  <c r="V48" i="35" s="1"/>
  <c r="BL46" i="35"/>
  <c r="U90" i="35"/>
  <c r="V46" i="35" s="1"/>
  <c r="U99" i="35"/>
  <c r="V55" i="35" s="1"/>
  <c r="BM55" i="35"/>
  <c r="U97" i="35"/>
  <c r="V53" i="35" s="1"/>
  <c r="BM53" i="35"/>
  <c r="AO115" i="35"/>
  <c r="BK115" i="35" s="1"/>
  <c r="AP117" i="35"/>
  <c r="BL117" i="35" s="1"/>
  <c r="V96" i="35"/>
  <c r="W52" i="35" s="1"/>
  <c r="AP119" i="35"/>
  <c r="BL119" i="35" s="1"/>
  <c r="AO87" i="35"/>
  <c r="AP43" i="35" s="1"/>
  <c r="BK43" i="35"/>
  <c r="U101" i="35"/>
  <c r="V57" i="35" s="1"/>
  <c r="BM57" i="35"/>
  <c r="AS124" i="35"/>
  <c r="T118" i="35"/>
  <c r="AR112" i="35"/>
  <c r="W117" i="35"/>
  <c r="AP114" i="35"/>
  <c r="BL114" i="35" s="1"/>
  <c r="U122" i="35"/>
  <c r="BM122" i="35" s="1"/>
  <c r="U124" i="35"/>
  <c r="BM124" i="35" s="1"/>
  <c r="U120" i="35"/>
  <c r="AS116" i="35"/>
  <c r="AQ120" i="35"/>
  <c r="U109" i="35"/>
  <c r="V54" i="35"/>
  <c r="AN109" i="35"/>
  <c r="BJ109" i="35" s="1"/>
  <c r="AO42" i="35"/>
  <c r="V119" i="35"/>
  <c r="U115" i="35"/>
  <c r="AS123" i="35"/>
  <c r="AP118" i="35"/>
  <c r="V114" i="35"/>
  <c r="AR111" i="35"/>
  <c r="BN111" i="35" s="1"/>
  <c r="U121" i="35"/>
  <c r="BM121" i="35" s="1"/>
  <c r="AQ46" i="35"/>
  <c r="AQ90" i="35" s="1"/>
  <c r="AP113" i="35"/>
  <c r="BL113" i="35" s="1"/>
  <c r="AR122" i="35"/>
  <c r="AS55" i="35"/>
  <c r="AS99" i="35" s="1"/>
  <c r="AR53" i="35"/>
  <c r="AR97" i="35" s="1"/>
  <c r="AS45" i="35"/>
  <c r="AS89" i="35" s="1"/>
  <c r="AQ51" i="35"/>
  <c r="AQ95" i="35" s="1"/>
  <c r="V87" i="35"/>
  <c r="V110" i="35"/>
  <c r="U113" i="35"/>
  <c r="U116" i="35"/>
  <c r="BM116" i="35" s="1"/>
  <c r="AQ117" i="35" l="1"/>
  <c r="BM117" i="35" s="1"/>
  <c r="AQ119" i="35"/>
  <c r="BM119" i="35" s="1"/>
  <c r="BL118" i="35"/>
  <c r="AP115" i="35"/>
  <c r="BL115" i="35" s="1"/>
  <c r="V92" i="35"/>
  <c r="W48" i="35" s="1"/>
  <c r="W91" i="35"/>
  <c r="V90" i="35"/>
  <c r="W46" i="35" s="1"/>
  <c r="W96" i="35"/>
  <c r="V86" i="35"/>
  <c r="W42" i="35" s="1"/>
  <c r="V97" i="35"/>
  <c r="W53" i="35" s="1"/>
  <c r="BN53" i="35"/>
  <c r="AS88" i="35"/>
  <c r="BO44" i="35"/>
  <c r="BM46" i="35"/>
  <c r="U95" i="35"/>
  <c r="V51" i="35" s="1"/>
  <c r="BM51" i="35"/>
  <c r="V93" i="35"/>
  <c r="W49" i="35" s="1"/>
  <c r="BN49" i="35"/>
  <c r="V98" i="35"/>
  <c r="W54" i="35" s="1"/>
  <c r="BN54" i="35"/>
  <c r="AP110" i="35"/>
  <c r="BL110" i="35" s="1"/>
  <c r="AQ96" i="35"/>
  <c r="AR52" i="35" s="1"/>
  <c r="BM52" i="35"/>
  <c r="U56" i="35"/>
  <c r="V99" i="35"/>
  <c r="W55" i="35" s="1"/>
  <c r="BN55" i="35"/>
  <c r="AP87" i="35"/>
  <c r="AQ43" i="35" s="1"/>
  <c r="BL43" i="35"/>
  <c r="AQ94" i="35"/>
  <c r="AR50" i="35" s="1"/>
  <c r="BM50" i="35"/>
  <c r="T45" i="35"/>
  <c r="AQ91" i="35"/>
  <c r="AR47" i="35" s="1"/>
  <c r="BM47" i="35"/>
  <c r="AO109" i="35"/>
  <c r="BK109" i="35" s="1"/>
  <c r="BK42" i="35"/>
  <c r="BM120" i="35"/>
  <c r="AP92" i="35"/>
  <c r="AQ48" i="35" s="1"/>
  <c r="BL48" i="35"/>
  <c r="V101" i="35"/>
  <c r="W57" i="35" s="1"/>
  <c r="BN57" i="35"/>
  <c r="V121" i="35"/>
  <c r="BN121" i="35" s="1"/>
  <c r="V109" i="35"/>
  <c r="V115" i="35"/>
  <c r="V122" i="35"/>
  <c r="BN122" i="35" s="1"/>
  <c r="AO86" i="35"/>
  <c r="AP42" i="35" s="1"/>
  <c r="AQ114" i="35"/>
  <c r="BM114" i="35" s="1"/>
  <c r="AS112" i="35"/>
  <c r="AQ113" i="35"/>
  <c r="BM113" i="35" s="1"/>
  <c r="AS111" i="35"/>
  <c r="BO111" i="35" s="1"/>
  <c r="V124" i="35"/>
  <c r="BN124" i="35" s="1"/>
  <c r="U118" i="35"/>
  <c r="V120" i="35"/>
  <c r="W119" i="35"/>
  <c r="W114" i="35"/>
  <c r="AQ118" i="35"/>
  <c r="AR120" i="35"/>
  <c r="AS122" i="35"/>
  <c r="AR51" i="35"/>
  <c r="AR95" i="35" s="1"/>
  <c r="AS53" i="35"/>
  <c r="AS97" i="35" s="1"/>
  <c r="AR46" i="35"/>
  <c r="AR90" i="35" s="1"/>
  <c r="W43" i="35"/>
  <c r="V116" i="35"/>
  <c r="BN116" i="35" s="1"/>
  <c r="V113" i="35"/>
  <c r="AR119" i="35" l="1"/>
  <c r="BN119" i="35" s="1"/>
  <c r="AQ110" i="35"/>
  <c r="BM110" i="35" s="1"/>
  <c r="T112" i="35"/>
  <c r="BL112" i="35" s="1"/>
  <c r="AQ115" i="35"/>
  <c r="BM115" i="35" s="1"/>
  <c r="V95" i="35"/>
  <c r="W51" i="35" s="1"/>
  <c r="BN51" i="35"/>
  <c r="W99" i="35"/>
  <c r="BO55" i="35"/>
  <c r="W97" i="35"/>
  <c r="BO53" i="35"/>
  <c r="W86" i="35"/>
  <c r="AR94" i="35"/>
  <c r="AS50" i="35" s="1"/>
  <c r="BN50" i="35"/>
  <c r="U100" i="35"/>
  <c r="BM56" i="35"/>
  <c r="W93" i="35"/>
  <c r="BO49" i="35"/>
  <c r="BN120" i="35"/>
  <c r="AQ92" i="35"/>
  <c r="AR48" i="35" s="1"/>
  <c r="BM48" i="35"/>
  <c r="W90" i="35"/>
  <c r="W110" i="35"/>
  <c r="AR91" i="35"/>
  <c r="AS47" i="35" s="1"/>
  <c r="BN47" i="35"/>
  <c r="BM118" i="35"/>
  <c r="W92" i="35"/>
  <c r="AP109" i="35"/>
  <c r="BL109" i="35" s="1"/>
  <c r="BL42" i="35"/>
  <c r="AR117" i="35"/>
  <c r="BN117" i="35" s="1"/>
  <c r="T89" i="35"/>
  <c r="BL45" i="35"/>
  <c r="AQ87" i="35"/>
  <c r="AR43" i="35" s="1"/>
  <c r="BM43" i="35"/>
  <c r="AR96" i="35"/>
  <c r="AS52" i="35" s="1"/>
  <c r="BN52" i="35"/>
  <c r="BN46" i="35"/>
  <c r="W98" i="35"/>
  <c r="BO54" i="35"/>
  <c r="U123" i="35"/>
  <c r="BM123" i="35" s="1"/>
  <c r="W101" i="35"/>
  <c r="BO57" i="35"/>
  <c r="AP86" i="35"/>
  <c r="AQ42" i="35" s="1"/>
  <c r="BM42" i="35" s="1"/>
  <c r="AR114" i="35"/>
  <c r="BN114" i="35" s="1"/>
  <c r="W121" i="35"/>
  <c r="BO121" i="35" s="1"/>
  <c r="W115" i="35"/>
  <c r="W109" i="35"/>
  <c r="W113" i="35"/>
  <c r="AR113" i="35"/>
  <c r="BN113" i="35" s="1"/>
  <c r="W124" i="35"/>
  <c r="W122" i="35"/>
  <c r="BO122" i="35" s="1"/>
  <c r="AS51" i="35"/>
  <c r="AS95" i="35" s="1"/>
  <c r="AS46" i="35"/>
  <c r="AS90" i="35" s="1"/>
  <c r="AS120" i="35"/>
  <c r="AR118" i="35"/>
  <c r="V118" i="35"/>
  <c r="W116" i="35"/>
  <c r="BO116" i="35" s="1"/>
  <c r="W120" i="35"/>
  <c r="W87" i="35"/>
  <c r="AR110" i="35" l="1"/>
  <c r="BN110" i="35" s="1"/>
  <c r="AS117" i="35"/>
  <c r="BO117" i="35" s="1"/>
  <c r="BO120" i="35"/>
  <c r="AR115" i="35"/>
  <c r="BN115" i="35" s="1"/>
  <c r="AS119" i="35"/>
  <c r="BO119" i="35" s="1"/>
  <c r="BN118" i="35"/>
  <c r="V56" i="35"/>
  <c r="V123" i="35" s="1"/>
  <c r="BN123" i="35" s="1"/>
  <c r="AR87" i="35"/>
  <c r="AS43" i="35" s="1"/>
  <c r="BN43" i="35"/>
  <c r="AS91" i="35"/>
  <c r="BO47" i="35"/>
  <c r="AS96" i="35"/>
  <c r="BO52" i="35"/>
  <c r="U45" i="35"/>
  <c r="AR92" i="35"/>
  <c r="AS48" i="35" s="1"/>
  <c r="BN48" i="35"/>
  <c r="W95" i="35"/>
  <c r="BO51" i="35"/>
  <c r="BO46" i="35"/>
  <c r="AS94" i="35"/>
  <c r="BO50" i="35"/>
  <c r="BO124" i="35"/>
  <c r="AQ109" i="35"/>
  <c r="BM109" i="35" s="1"/>
  <c r="AQ86" i="35"/>
  <c r="AR42" i="35" s="1"/>
  <c r="W118" i="35"/>
  <c r="AS118" i="35"/>
  <c r="AS114" i="35"/>
  <c r="BO114" i="35" s="1"/>
  <c r="AS113" i="35"/>
  <c r="BO113" i="35" s="1"/>
  <c r="AS110" i="35" l="1"/>
  <c r="BO110" i="35" s="1"/>
  <c r="U112" i="35"/>
  <c r="BM112" i="35" s="1"/>
  <c r="AS115" i="35"/>
  <c r="BO115" i="35" s="1"/>
  <c r="BO118" i="35"/>
  <c r="AR86" i="35"/>
  <c r="AS42" i="35" s="1"/>
  <c r="BN42" i="35"/>
  <c r="AS92" i="35"/>
  <c r="BO48" i="35"/>
  <c r="U89" i="35"/>
  <c r="BM45" i="35"/>
  <c r="AS87" i="35"/>
  <c r="BO43" i="35"/>
  <c r="V100" i="35"/>
  <c r="BN56" i="35"/>
  <c r="AR109" i="35"/>
  <c r="BN109" i="35" s="1"/>
  <c r="AS86" i="35" l="1"/>
  <c r="Z8" i="3" a="1"/>
  <c r="AL25" i="3" s="1"/>
  <c r="V45" i="35"/>
  <c r="AS109" i="35"/>
  <c r="BO109" i="35" s="1"/>
  <c r="BO42" i="35"/>
  <c r="W56" i="35"/>
  <c r="W123" i="35" s="1"/>
  <c r="BO123" i="35" s="1"/>
  <c r="Z9" i="5" l="1" a="1"/>
  <c r="AC26" i="5" s="1"/>
  <c r="V112" i="35"/>
  <c r="AF25" i="3"/>
  <c r="AQ25" i="3"/>
  <c r="AG25" i="3"/>
  <c r="AR25" i="3"/>
  <c r="AO25" i="3"/>
  <c r="AN25" i="3"/>
  <c r="AS25" i="3"/>
  <c r="AC25" i="3"/>
  <c r="Z8" i="3"/>
  <c r="Z25" i="3" s="1"/>
  <c r="AP25" i="3"/>
  <c r="AD25" i="3"/>
  <c r="AI25" i="3"/>
  <c r="AE25" i="3"/>
  <c r="AH25" i="3"/>
  <c r="AA25" i="3"/>
  <c r="AJ25" i="3"/>
  <c r="AK25" i="3"/>
  <c r="AM25" i="3"/>
  <c r="AB25" i="3"/>
  <c r="W100" i="35"/>
  <c r="BO56" i="35"/>
  <c r="BN112" i="35"/>
  <c r="V89" i="35"/>
  <c r="BN45" i="35"/>
  <c r="AH26" i="5" l="1"/>
  <c r="AG26" i="5"/>
  <c r="AL26" i="5"/>
  <c r="AR26" i="5"/>
  <c r="AA26" i="5"/>
  <c r="AO26" i="5"/>
  <c r="AF26" i="5"/>
  <c r="AE26" i="5"/>
  <c r="AJ26" i="5"/>
  <c r="Z9" i="5"/>
  <c r="Z26" i="5" s="1"/>
  <c r="AD26" i="5"/>
  <c r="AN26" i="5"/>
  <c r="AB26" i="5"/>
  <c r="AI26" i="5"/>
  <c r="AS26" i="5"/>
  <c r="AP26" i="5"/>
  <c r="AK26" i="5"/>
  <c r="AM26" i="5"/>
  <c r="AQ26" i="5"/>
  <c r="Z26" i="3" a="1"/>
  <c r="Z26" i="3" s="1"/>
  <c r="Y26" i="3" s="1"/>
  <c r="W45" i="35"/>
  <c r="D8" i="3" s="1" a="1"/>
  <c r="D8" i="3" s="1"/>
  <c r="Z27" i="5" l="1" a="1"/>
  <c r="Z27" i="5" s="1"/>
  <c r="Y27" i="5" s="1"/>
  <c r="D25" i="3"/>
  <c r="W112" i="35"/>
  <c r="D9" i="5" s="1" a="1"/>
  <c r="D9" i="5" s="1"/>
  <c r="D26" i="5" s="1"/>
  <c r="W89" i="35"/>
  <c r="BO45" i="35"/>
  <c r="AV8" i="3" s="1" a="1"/>
  <c r="BO112" i="35" l="1"/>
  <c r="AV9" i="5" s="1" a="1"/>
  <c r="AV9" i="5" s="1"/>
  <c r="AV26" i="5" s="1"/>
  <c r="AV8" i="3"/>
  <c r="AV25" i="3" s="1"/>
  <c r="BM25" i="3"/>
  <c r="BH25" i="3"/>
  <c r="BC25" i="3"/>
  <c r="AW25" i="3"/>
  <c r="BK25" i="3"/>
  <c r="BE25" i="3"/>
  <c r="AZ25" i="3"/>
  <c r="BL25" i="3"/>
  <c r="BA25" i="3"/>
  <c r="BI25" i="3"/>
  <c r="AY25" i="3"/>
  <c r="BG25" i="3"/>
  <c r="BN25" i="3"/>
  <c r="BO25" i="3"/>
  <c r="BD25" i="3"/>
  <c r="AX25" i="3"/>
  <c r="BF25" i="3"/>
  <c r="BJ25" i="3"/>
  <c r="BB25" i="3"/>
  <c r="L26" i="5"/>
  <c r="P26" i="5"/>
  <c r="W26" i="5"/>
  <c r="E26" i="5"/>
  <c r="O26" i="5"/>
  <c r="I26" i="5"/>
  <c r="S26" i="5"/>
  <c r="T26" i="5"/>
  <c r="V26" i="5"/>
  <c r="R26" i="5"/>
  <c r="K26" i="5"/>
  <c r="G26" i="5"/>
  <c r="J26" i="5"/>
  <c r="F26" i="5"/>
  <c r="H26" i="5"/>
  <c r="N26" i="5"/>
  <c r="Q26" i="5"/>
  <c r="U26" i="5"/>
  <c r="M26" i="5"/>
  <c r="I25" i="3"/>
  <c r="W25" i="3"/>
  <c r="L25" i="3"/>
  <c r="F25" i="3"/>
  <c r="S25" i="3"/>
  <c r="T25" i="3"/>
  <c r="K25" i="3"/>
  <c r="J25" i="3"/>
  <c r="V25" i="3"/>
  <c r="E25" i="3"/>
  <c r="O25" i="3"/>
  <c r="N25" i="3"/>
  <c r="R25" i="3"/>
  <c r="G25" i="3"/>
  <c r="P25" i="3"/>
  <c r="M25" i="3"/>
  <c r="Q25" i="3"/>
  <c r="H25" i="3"/>
  <c r="U25" i="3"/>
  <c r="AV26" i="3" l="1" a="1"/>
  <c r="AV26" i="3" s="1"/>
  <c r="AU26" i="3" s="1"/>
  <c r="D26" i="3" a="1"/>
  <c r="D26" i="3" s="1"/>
  <c r="C26" i="3" s="1"/>
  <c r="C9" i="91" a="1"/>
  <c r="C9" i="91" s="1"/>
  <c r="BK26" i="5"/>
  <c r="AZ26" i="5"/>
  <c r="BG26" i="5"/>
  <c r="BI26" i="5"/>
  <c r="BL26" i="5"/>
  <c r="BO26" i="5"/>
  <c r="BB26" i="5"/>
  <c r="BC26" i="5"/>
  <c r="BE26" i="5"/>
  <c r="BH26" i="5"/>
  <c r="BN26" i="5"/>
  <c r="AX26" i="5"/>
  <c r="BM26" i="5"/>
  <c r="AW26" i="5"/>
  <c r="BF26" i="5"/>
  <c r="AY26" i="5"/>
  <c r="BA26" i="5"/>
  <c r="BD26" i="5"/>
  <c r="BJ26" i="5"/>
  <c r="B15" i="92" a="1"/>
  <c r="D27" i="5" a="1"/>
  <c r="D27" i="5" s="1"/>
  <c r="C27" i="5" s="1"/>
  <c r="D6" i="95" l="1"/>
  <c r="D7" i="95" s="1"/>
  <c r="C10" i="91"/>
  <c r="C11" i="91"/>
  <c r="C12" i="91" s="1"/>
  <c r="D8" i="91" s="1"/>
  <c r="D10" i="91" s="1"/>
  <c r="D11" i="91" s="1"/>
  <c r="D12" i="91" s="1"/>
  <c r="E8" i="91" s="1"/>
  <c r="E10" i="91" s="1"/>
  <c r="E11" i="91" s="1"/>
  <c r="E12" i="91" s="1"/>
  <c r="F8" i="91" s="1"/>
  <c r="F10" i="91" s="1"/>
  <c r="F11" i="91" s="1"/>
  <c r="F12" i="91" s="1"/>
  <c r="G8" i="91" s="1"/>
  <c r="G10" i="91" s="1"/>
  <c r="G11" i="91" s="1"/>
  <c r="G12" i="91" s="1"/>
  <c r="H8" i="91" s="1"/>
  <c r="H10" i="91" s="1"/>
  <c r="H11" i="91" s="1"/>
  <c r="H12" i="91" s="1"/>
  <c r="I8" i="91" s="1"/>
  <c r="I10" i="91" s="1"/>
  <c r="I11" i="91" s="1"/>
  <c r="I12" i="91" s="1"/>
  <c r="J8" i="91" s="1"/>
  <c r="J10" i="91" s="1"/>
  <c r="J11" i="91" s="1"/>
  <c r="J12" i="91" s="1"/>
  <c r="K8" i="91" s="1"/>
  <c r="K10" i="91" s="1"/>
  <c r="K11" i="91" s="1"/>
  <c r="K12" i="91" s="1"/>
  <c r="L8" i="91" s="1"/>
  <c r="L10" i="91" s="1"/>
  <c r="L11" i="91" s="1"/>
  <c r="L12" i="91" s="1"/>
  <c r="M8" i="91" s="1"/>
  <c r="M10" i="91" s="1"/>
  <c r="M11" i="91" s="1"/>
  <c r="M12" i="91" s="1"/>
  <c r="N8" i="91" s="1"/>
  <c r="N10" i="91" s="1"/>
  <c r="N11" i="91" s="1"/>
  <c r="N12" i="91" s="1"/>
  <c r="O8" i="91" s="1"/>
  <c r="O10" i="91" s="1"/>
  <c r="O11" i="91" s="1"/>
  <c r="O12" i="91" s="1"/>
  <c r="P8" i="91" s="1"/>
  <c r="P10" i="91" s="1"/>
  <c r="P11" i="91" s="1"/>
  <c r="P12" i="91" s="1"/>
  <c r="Q8" i="91" s="1"/>
  <c r="Q10" i="91" s="1"/>
  <c r="Q11" i="91" s="1"/>
  <c r="Q12" i="91" s="1"/>
  <c r="R8" i="91" s="1"/>
  <c r="R10" i="91" s="1"/>
  <c r="R11" i="91" s="1"/>
  <c r="R12" i="91" s="1"/>
  <c r="S8" i="91" s="1"/>
  <c r="S10" i="91" s="1"/>
  <c r="S11" i="91" s="1"/>
  <c r="S12" i="91" s="1"/>
  <c r="T8" i="91" s="1"/>
  <c r="T10" i="91" s="1"/>
  <c r="T11" i="91" s="1"/>
  <c r="T12" i="91" s="1"/>
  <c r="U8" i="91" s="1"/>
  <c r="U10" i="91" s="1"/>
  <c r="U11" i="91" s="1"/>
  <c r="U12" i="91" s="1"/>
  <c r="V8" i="91" s="1"/>
  <c r="V10" i="91" s="1"/>
  <c r="AV27" i="5" a="1"/>
  <c r="AV27" i="5" s="1"/>
  <c r="AU27" i="5" s="1"/>
  <c r="D19" i="95" s="1"/>
  <c r="B15" i="92"/>
  <c r="D43" i="95" l="1"/>
  <c r="E7" i="95" a="1"/>
  <c r="E7" i="95" s="1"/>
  <c r="D20" i="95"/>
  <c r="E20" i="95" s="1" a="1"/>
  <c r="T22" i="95" s="1"/>
  <c r="V11" i="91"/>
  <c r="B16" i="92" s="1" a="1"/>
  <c r="E8" i="95" l="1" a="1"/>
  <c r="E8" i="95" s="1"/>
  <c r="D8" i="95" s="1"/>
  <c r="E9" i="95"/>
  <c r="X9" i="95"/>
  <c r="L9" i="95"/>
  <c r="J9" i="95"/>
  <c r="I9" i="95"/>
  <c r="J22" i="95"/>
  <c r="M22" i="95"/>
  <c r="F9" i="95"/>
  <c r="G22" i="95"/>
  <c r="W9" i="95"/>
  <c r="N9" i="95"/>
  <c r="V22" i="95"/>
  <c r="I22" i="95"/>
  <c r="Q9" i="95"/>
  <c r="G9" i="95"/>
  <c r="F22" i="95"/>
  <c r="S22" i="95"/>
  <c r="V9" i="95"/>
  <c r="M9" i="95"/>
  <c r="P9" i="95"/>
  <c r="T9" i="95"/>
  <c r="S9" i="95"/>
  <c r="K9" i="95"/>
  <c r="O9" i="95"/>
  <c r="R9" i="95"/>
  <c r="U9" i="95"/>
  <c r="H9" i="95"/>
  <c r="P22" i="95"/>
  <c r="R22" i="95"/>
  <c r="U22" i="95"/>
  <c r="O22" i="95"/>
  <c r="L22" i="95"/>
  <c r="X22" i="95"/>
  <c r="N22" i="95"/>
  <c r="E20" i="95"/>
  <c r="E21" i="95" s="1" a="1"/>
  <c r="E21" i="95" s="1"/>
  <c r="D21" i="95" s="1"/>
  <c r="W22" i="95"/>
  <c r="Q22" i="95"/>
  <c r="K22" i="95"/>
  <c r="H22" i="95"/>
  <c r="V12" i="91"/>
  <c r="B16" i="92"/>
  <c r="B17" i="92" s="1"/>
  <c r="U17" i="92"/>
  <c r="O17" i="92"/>
  <c r="E17" i="92"/>
  <c r="C17" i="92"/>
  <c r="L17" i="92"/>
  <c r="H17" i="92"/>
  <c r="S17" i="92"/>
  <c r="M17" i="92"/>
  <c r="P17" i="92"/>
  <c r="J17" i="92"/>
  <c r="T17" i="92"/>
  <c r="F17" i="92"/>
  <c r="I17" i="92"/>
  <c r="K17" i="92"/>
  <c r="D17" i="92"/>
  <c r="G17" i="92"/>
  <c r="R17" i="92"/>
  <c r="Q17" i="92"/>
  <c r="N17" i="92"/>
  <c r="E10" i="95" l="1" a="1"/>
  <c r="E10" i="95" s="1"/>
  <c r="D10" i="95" s="1"/>
  <c r="D35" i="95" s="1"/>
  <c r="E31" i="95" a="1"/>
  <c r="E31" i="95" s="1"/>
  <c r="E32" i="95" s="1" a="1"/>
  <c r="E32" i="95" s="1"/>
  <c r="E22" i="95"/>
  <c r="E35" i="95" s="1" a="1"/>
  <c r="E35" i="95" s="1"/>
  <c r="E23" i="95" l="1" a="1"/>
  <c r="E23" i="95" s="1"/>
  <c r="D23" i="95" s="1"/>
  <c r="D24" i="95" s="1"/>
  <c r="D11" i="95"/>
  <c r="B30" i="1" a="1"/>
  <c r="B30" i="1" s="1"/>
  <c r="E34" i="95" a="1"/>
  <c r="E34" i="95" s="1"/>
  <c r="E42" i="95" s="1" a="1"/>
  <c r="E42" i="95" s="1"/>
  <c r="D42" i="95" s="1"/>
  <c r="D44" i="95" s="1"/>
  <c r="D32" i="95"/>
  <c r="B6" i="92" a="1"/>
  <c r="B6" i="92" s="1"/>
  <c r="B7" i="92" s="1" a="1"/>
  <c r="B7" i="92" s="1"/>
  <c r="B8" i="92" s="1"/>
  <c r="E36" i="95" l="1"/>
  <c r="J36" i="95"/>
  <c r="Q36" i="95"/>
  <c r="O36" i="95"/>
  <c r="S36" i="95"/>
  <c r="P36" i="95"/>
  <c r="H36" i="95"/>
  <c r="I36" i="95"/>
  <c r="M37" i="95"/>
  <c r="R36" i="95"/>
  <c r="V36" i="95"/>
  <c r="L36" i="95"/>
  <c r="G36" i="95"/>
  <c r="T36" i="95"/>
  <c r="M36" i="95"/>
  <c r="W36" i="95"/>
  <c r="X36" i="95"/>
  <c r="F36" i="95"/>
  <c r="U36" i="95"/>
  <c r="N36" i="95"/>
  <c r="K36" i="9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<sst xmlns="http://schemas.openxmlformats.org/spreadsheetml/2006/main" count="574" uniqueCount="445">
  <si>
    <t>Date</t>
  </si>
  <si>
    <t>Version</t>
  </si>
  <si>
    <t>Confidentiality</t>
  </si>
  <si>
    <t>This cost model is a template with no confidential information</t>
  </si>
  <si>
    <t>Introduction:</t>
  </si>
  <si>
    <t>This network cost model was prepared by Acacia Economics for ICASA fixed termination rates</t>
  </si>
  <si>
    <t>Key</t>
  </si>
  <si>
    <t>Red fill means an assumption was used, typically from a licensee, and this figure can be changed</t>
  </si>
  <si>
    <t>Red text</t>
  </si>
  <si>
    <t>Means cell or array name</t>
  </si>
  <si>
    <t>Black text</t>
  </si>
  <si>
    <t>Explains an assumption or a source or otherwise provides an explanation.</t>
  </si>
  <si>
    <t>Growth scenario</t>
  </si>
  <si>
    <t>Medium growth scenario</t>
  </si>
  <si>
    <t>Market share of generic operator</t>
  </si>
  <si>
    <t>share_operator</t>
  </si>
  <si>
    <t>Costs</t>
  </si>
  <si>
    <t>Plan of cost model</t>
  </si>
  <si>
    <t>Step 1 - Volumes</t>
  </si>
  <si>
    <t>Step 2 - Conversion of demand volumes to common network usage metrics</t>
  </si>
  <si>
    <t>In this tab, we use dimensioning parameters  to convert usage volumes of fixed voice to common factors in the busy hour, in order to dimension our network.</t>
  </si>
  <si>
    <t>Parameter</t>
  </si>
  <si>
    <t>Unit</t>
  </si>
  <si>
    <t>Notes</t>
  </si>
  <si>
    <t>Input</t>
  </si>
  <si>
    <t>Cell reference</t>
  </si>
  <si>
    <t>General parameters</t>
  </si>
  <si>
    <t>Sources</t>
  </si>
  <si>
    <t>Seconds in one minute</t>
  </si>
  <si>
    <t>seconds/minute</t>
  </si>
  <si>
    <t>sec_minute</t>
  </si>
  <si>
    <t>Own calc</t>
  </si>
  <si>
    <t>Minutes in an hour</t>
  </si>
  <si>
    <t>mins/hour</t>
  </si>
  <si>
    <t>This is used, for example, for converting minutes to Erlangs (divide by 60)</t>
  </si>
  <si>
    <t>mins_hour</t>
  </si>
  <si>
    <t>Days in a year</t>
  </si>
  <si>
    <t>days/year</t>
  </si>
  <si>
    <t>Weeks in a year</t>
  </si>
  <si>
    <t>weeks/year</t>
  </si>
  <si>
    <t>Working days in a week</t>
  </si>
  <si>
    <t>days/week</t>
  </si>
  <si>
    <t>Days in a week</t>
  </si>
  <si>
    <t>On-net voice call and SMS provisioning / demand factor</t>
  </si>
  <si>
    <t>factor</t>
  </si>
  <si>
    <t>onnet_factor</t>
  </si>
  <si>
    <t>Call assumptions</t>
  </si>
  <si>
    <t>Source:</t>
  </si>
  <si>
    <t>Unsuccessful calls</t>
  </si>
  <si>
    <t>percentage</t>
  </si>
  <si>
    <t>unsuccessful_calls_perc</t>
  </si>
  <si>
    <t>Minutes per call</t>
  </si>
  <si>
    <t>mins_call</t>
  </si>
  <si>
    <t>Idle time (due to unanswered calls, voice messages, etc)</t>
  </si>
  <si>
    <t>idle_time</t>
  </si>
  <si>
    <t>EU fixed call termination rate model, 2018</t>
  </si>
  <si>
    <t>Note: these assumptions can be differentiated by service if needs be and the data are available</t>
  </si>
  <si>
    <t>Busy hour assumptions</t>
  </si>
  <si>
    <t>% of calls made during working days</t>
  </si>
  <si>
    <t>Working days in the year</t>
  </si>
  <si>
    <t>% of calls made in a working day during the busy hour</t>
  </si>
  <si>
    <t>% of annual traffic in the busy hour</t>
  </si>
  <si>
    <t>busy_hour_perc</t>
  </si>
  <si>
    <t>Network element demand assumptions</t>
  </si>
  <si>
    <t>Demand parameter</t>
  </si>
  <si>
    <t>Calls per second</t>
  </si>
  <si>
    <t>as_hardware</t>
  </si>
  <si>
    <t>as_software</t>
  </si>
  <si>
    <t>Call data records per hour (calls per hour)</t>
  </si>
  <si>
    <t>cdf_hardware</t>
  </si>
  <si>
    <t>cdf_software</t>
  </si>
  <si>
    <t>Busy hour call attempts</t>
  </si>
  <si>
    <t>proxy_cscf_hardware</t>
  </si>
  <si>
    <t>proxy_cscf_software</t>
  </si>
  <si>
    <t>interr_cscf_hardware</t>
  </si>
  <si>
    <t>interr_cscf_software</t>
  </si>
  <si>
    <t>serve_cscf_hardware</t>
  </si>
  <si>
    <t>serve_cscf_software</t>
  </si>
  <si>
    <t>Concurrent sessions (calls per hour)</t>
  </si>
  <si>
    <t>mrf_hardware</t>
  </si>
  <si>
    <t>mrf_software</t>
  </si>
  <si>
    <t>access_sbc_hardware</t>
  </si>
  <si>
    <t>access_sbc_software</t>
  </si>
  <si>
    <t>ix_sbc_hardware</t>
  </si>
  <si>
    <t>ix_sbc_software</t>
  </si>
  <si>
    <t>Note: equipment vendors may bill stakeholders based on different network dimensioning elements</t>
  </si>
  <si>
    <t>Note: It may me useful to distinguish between concurrent voice channels and concurrent sessions for the MRF</t>
  </si>
  <si>
    <t>Traffic demand-total volumes</t>
  </si>
  <si>
    <t>These data are pulled from 1 volumes based on the scenario in the summary tab</t>
  </si>
  <si>
    <t>B Traffic excluding incoming voice</t>
  </si>
  <si>
    <t>fixed_services</t>
  </si>
  <si>
    <t>fixed_minutes</t>
  </si>
  <si>
    <t>Traffic (minutes) in the busy hour</t>
  </si>
  <si>
    <t>Here, traffic in the busy hour is calculated using the proportion of traffic in the busy hour assumption, and we also take into account call idle time (excluding on-net factor)</t>
  </si>
  <si>
    <t>fixed_minutes_busy_hour</t>
  </si>
  <si>
    <t>We now add an on-net factor for the call per second calculations below</t>
  </si>
  <si>
    <t>fixed_minutes_busy_hour_onnet_factor</t>
  </si>
  <si>
    <t>Calls per hour in the busy hour</t>
  </si>
  <si>
    <t>Now, we calculate calls per hour for calls transiting the core (no on-net factor, for IX demand)</t>
  </si>
  <si>
    <t>A Baseline</t>
  </si>
  <si>
    <t>fixed_calls_service</t>
  </si>
  <si>
    <t>Total</t>
  </si>
  <si>
    <t>fixed_calls_per_hour</t>
  </si>
  <si>
    <t>fixed_calls_per_hour_noincoming</t>
  </si>
  <si>
    <t>Then, we calculate calls per hour for calls including an on-net factor (for CSCF, MRF, access SBC)</t>
  </si>
  <si>
    <t>fixed_calls_service_onnet_factor</t>
  </si>
  <si>
    <t>fixed_calls_per_hour_onnet_factor</t>
  </si>
  <si>
    <t>fixed_calls_per_hour_onnet_factor_noincoming</t>
  </si>
  <si>
    <t>Busy hour call attempts - for CDF demand</t>
  </si>
  <si>
    <t>We also need to add in calls attempted but not completed - no onnet_factor for CDf</t>
  </si>
  <si>
    <t>busy_hour_call_attempts</t>
  </si>
  <si>
    <t>busy_hour_call_attempts_noincoming</t>
  </si>
  <si>
    <t>Calls per second / concurrent sessions</t>
  </si>
  <si>
    <t>We calculate calls per second by dividing busy hour minutes by 60 seconds (excluding on-net factor for IX SBCs)</t>
  </si>
  <si>
    <t>Total - through core - excluding on-net factor</t>
  </si>
  <si>
    <t>fixed_calls_persecond</t>
  </si>
  <si>
    <t>fixed_calls_persecond_noincoming</t>
  </si>
  <si>
    <t>We calculate calls per second by dividing busy hour minutes by 60 seconds (including on-net factor for access SBCs and AS)</t>
  </si>
  <si>
    <t>Total - through core - including on-net factor</t>
  </si>
  <si>
    <t>fixed_calls_persecond_onnet_factor</t>
  </si>
  <si>
    <t>fixed_calls_persecond_onnet_factor_noincoming</t>
  </si>
  <si>
    <t>Inbound minutes for LRIC calculation</t>
  </si>
  <si>
    <t>Incoming minutes</t>
  </si>
  <si>
    <t>Minutes</t>
  </si>
  <si>
    <t>fixed_minutes_incoming</t>
  </si>
  <si>
    <t>Step 4b - Network element demand - core network</t>
  </si>
  <si>
    <t>This tab contains the number of network elements to be used as inputs in the capital and operating cost calculations of the model</t>
  </si>
  <si>
    <t>Maximum load of core network</t>
  </si>
  <si>
    <t>max_load</t>
  </si>
  <si>
    <t>Redundancy factor</t>
  </si>
  <si>
    <t>redundancy</t>
  </si>
  <si>
    <t>B No incoming voice</t>
  </si>
  <si>
    <t>First, we consider the total number of core network elements required, including the maximum load and redundancy factors</t>
  </si>
  <si>
    <t>We also apply the on-net factor to the access SBCs</t>
  </si>
  <si>
    <t>Network element</t>
  </si>
  <si>
    <t>Derivation</t>
  </si>
  <si>
    <t>Application server hardware</t>
  </si>
  <si>
    <t>On-net factor</t>
  </si>
  <si>
    <t>Application server software</t>
  </si>
  <si>
    <t>Charging data function hardware</t>
  </si>
  <si>
    <t>No on-net factor</t>
  </si>
  <si>
    <t>Charging data function software</t>
  </si>
  <si>
    <t>Proxy - Call session control function hardware</t>
  </si>
  <si>
    <t>Proxy - Call session control function software</t>
  </si>
  <si>
    <t>Interrogating - Call session control function hardware</t>
  </si>
  <si>
    <t>Interrogating - Call session control function software</t>
  </si>
  <si>
    <t>Serving - Call session control function hardware</t>
  </si>
  <si>
    <t>Serving - Call session control function software</t>
  </si>
  <si>
    <t>Media resource function - hardware</t>
  </si>
  <si>
    <t>Media resource function - software</t>
  </si>
  <si>
    <t>Access session border controller - hardware</t>
  </si>
  <si>
    <t>Access session border controller - software</t>
  </si>
  <si>
    <t>Internet exchange point session border controller - hardware</t>
  </si>
  <si>
    <t>Internet exchange point session border controller - software</t>
  </si>
  <si>
    <t>core_elements</t>
  </si>
  <si>
    <t>Note: different fixed line networks may use different layers of the IP Multimedia Subsystem.</t>
  </si>
  <si>
    <t>Depreciation period</t>
  </si>
  <si>
    <t xml:space="preserve">Step 4 - Capital costs </t>
  </si>
  <si>
    <t>Financial inputs</t>
  </si>
  <si>
    <t>Percentage of capital that is debt</t>
  </si>
  <si>
    <t>debt_perc</t>
  </si>
  <si>
    <t>Exchange rate (USD/ZAR)</t>
  </si>
  <si>
    <t>Exchange rate (GBP/ZAR)</t>
  </si>
  <si>
    <t>Exchange rate (EUR/ZAR)</t>
  </si>
  <si>
    <t>Inflation</t>
  </si>
  <si>
    <t>inflation</t>
  </si>
  <si>
    <t>Inflation index</t>
  </si>
  <si>
    <t>inflation_index</t>
  </si>
  <si>
    <t>Real WACC - pre-tax</t>
  </si>
  <si>
    <t>Nominal WACC - pre-tax</t>
  </si>
  <si>
    <t xml:space="preserve">WACC index </t>
  </si>
  <si>
    <t>wacc_index</t>
  </si>
  <si>
    <t xml:space="preserve">Core network </t>
  </si>
  <si>
    <t>Discounted</t>
  </si>
  <si>
    <t>unit_costs_core</t>
  </si>
  <si>
    <t>Total costs</t>
  </si>
  <si>
    <t>core_costs_noincoming</t>
  </si>
  <si>
    <t>Step 5 - Operating and maintence costs</t>
  </si>
  <si>
    <t>Core</t>
  </si>
  <si>
    <t>Core network opex</t>
  </si>
  <si>
    <t xml:space="preserve">This is a header tab, and has been left blank intentionally. </t>
  </si>
  <si>
    <t>Volume projections based on ITU data</t>
  </si>
  <si>
    <t>Annual volume growth</t>
  </si>
  <si>
    <t>% of fixed traffic that is on-net</t>
  </si>
  <si>
    <t>On-net fixed to fixed traffic</t>
  </si>
  <si>
    <t>Off-net fixed to fixed traffic</t>
  </si>
  <si>
    <t>State of the ICT Sector Data</t>
  </si>
  <si>
    <t xml:space="preserve">Source: 2021 State of the ICT Sector Report </t>
  </si>
  <si>
    <r>
      <rPr>
        <b/>
        <sz val="11"/>
        <rFont val="Calibri"/>
        <family val="2"/>
        <scheme val="minor"/>
      </rPr>
      <t>Note:</t>
    </r>
    <r>
      <rPr>
        <sz val="11"/>
        <rFont val="Calibri"/>
        <family val="2"/>
        <scheme val="minor"/>
      </rPr>
      <t xml:space="preserve"> All Graphs with annual figures are for the 12 months ending 30 September each year </t>
    </r>
  </si>
  <si>
    <t>Graph 7: Telecommunications Revenue</t>
  </si>
  <si>
    <t xml:space="preserve">page 18 </t>
  </si>
  <si>
    <t xml:space="preserve">Total telecommunication revenue </t>
  </si>
  <si>
    <t xml:space="preserve">Total mobile services revenue (Rm) </t>
  </si>
  <si>
    <t>Total of any other revenue</t>
  </si>
  <si>
    <t xml:space="preserve">Total fixed internet and data revenue </t>
  </si>
  <si>
    <t xml:space="preserve">Total fixed line revenue </t>
  </si>
  <si>
    <t>Graph 8: Mobile services revenue</t>
  </si>
  <si>
    <t xml:space="preserve">page 19 </t>
  </si>
  <si>
    <t xml:space="preserve">Revenue from mobile data services </t>
  </si>
  <si>
    <t>Revenue from voice services</t>
  </si>
  <si>
    <t xml:space="preserve">Other mobile services revenue </t>
  </si>
  <si>
    <t xml:space="preserve">Revenue from text and MMS </t>
  </si>
  <si>
    <t>Revenue from outbound roaming (R)</t>
  </si>
  <si>
    <t>Graph 9: Fixed internet and data revenue</t>
  </si>
  <si>
    <t xml:space="preserve">page 20 </t>
  </si>
  <si>
    <t xml:space="preserve">Revenue from fixed (wired) broadband services </t>
  </si>
  <si>
    <t>Fixed Internet Revenue ®</t>
  </si>
  <si>
    <t xml:space="preserve">Other telecommunication services revenue, including leased lines revenue and fixed value-added telecommunication services </t>
  </si>
  <si>
    <t xml:space="preserve">Other wireless-broadband services revenue </t>
  </si>
  <si>
    <t xml:space="preserve">Graph 10: Total Fixed Line Revenue </t>
  </si>
  <si>
    <t>page 21</t>
  </si>
  <si>
    <t>Total fixed line revenue</t>
  </si>
  <si>
    <t>Revenue from fixed-telephone subscription changes</t>
  </si>
  <si>
    <t xml:space="preserve">Revenue from fixed-telephone calls </t>
  </si>
  <si>
    <t xml:space="preserve">Revenue from retail fixed-telephone services </t>
  </si>
  <si>
    <t xml:space="preserve">Graph 11: Prepaid mobile voice, data and messaging revenue </t>
  </si>
  <si>
    <t>page 22</t>
  </si>
  <si>
    <t xml:space="preserve">Prepaid revenue mobile voice </t>
  </si>
  <si>
    <t>Prepaid revenue mobile data</t>
  </si>
  <si>
    <t xml:space="preserve">Prepaid revenue mobile messaging </t>
  </si>
  <si>
    <t xml:space="preserve">Graph 15: National Population coverage for 3G, 4G/LTE and 5G </t>
  </si>
  <si>
    <t>3G Population Coverage</t>
  </si>
  <si>
    <t>4G/LTE Population Coverage</t>
  </si>
  <si>
    <t>5G Coverage</t>
  </si>
  <si>
    <t xml:space="preserve">Graph 18: Mobile Cellular and Smartphone Subscriptions </t>
  </si>
  <si>
    <t>page 32</t>
  </si>
  <si>
    <t xml:space="preserve">Mobile cellular subscriptions </t>
  </si>
  <si>
    <t>Smartphone subscriptions</t>
  </si>
  <si>
    <t>Graph 23: Prepaid and post-paid mobile cellular voice subscriptions</t>
  </si>
  <si>
    <t>page 37</t>
  </si>
  <si>
    <t>Total mobile cellular subscriptions</t>
  </si>
  <si>
    <t xml:space="preserve">Prepaid mobile-cellular telephone subscriptions </t>
  </si>
  <si>
    <t xml:space="preserve">Postpaid mobile-cellular telephone subscriptions </t>
  </si>
  <si>
    <t xml:space="preserve">Graph 24: Mobile cellular active subscriptions (Active for more than 90 days) </t>
  </si>
  <si>
    <t xml:space="preserve">page 38 </t>
  </si>
  <si>
    <t xml:space="preserve">Mobile cellular active subscriptions </t>
  </si>
  <si>
    <t xml:space="preserve">Graph 27: Fixed broadband subscriptions </t>
  </si>
  <si>
    <t>page 41</t>
  </si>
  <si>
    <t xml:space="preserve">Fixed broadband subscriptions </t>
  </si>
  <si>
    <t xml:space="preserve">Fibre-to-the-home/building Internet subscriptions </t>
  </si>
  <si>
    <t>DSL internet subscriptions</t>
  </si>
  <si>
    <t xml:space="preserve">Other fixed (wired) - broadband subscriptions </t>
  </si>
  <si>
    <t>Graph 30: Fixed line traffic, in minutes, for the 12 month period ending 30 September each year</t>
  </si>
  <si>
    <t>page 44</t>
  </si>
  <si>
    <t xml:space="preserve">Total fixed line traffic </t>
  </si>
  <si>
    <t>Local fixed-to-fixed telephone traffic, in minutes</t>
  </si>
  <si>
    <t>Long-distance fixed-to-fixed telephone traffic, in minutes</t>
  </si>
  <si>
    <t xml:space="preserve">Graph 31: Fixed-to-mobile telephone traffic minutes </t>
  </si>
  <si>
    <t xml:space="preserve">page 45 </t>
  </si>
  <si>
    <t xml:space="preserve">ITU Data on Traffic Volumes </t>
  </si>
  <si>
    <t xml:space="preserve">Source: ITU Datahub </t>
  </si>
  <si>
    <t xml:space="preserve">https://datahub.itu.int/data/?id=2&amp;e=ZAF&amp;i=54 </t>
  </si>
  <si>
    <t xml:space="preserve">Domestic Fixed to fixed telephone traffic </t>
  </si>
  <si>
    <t>Fixed to Mobile Telephone traffic</t>
  </si>
  <si>
    <t xml:space="preserve">International incoming fixed telephone traffic </t>
  </si>
  <si>
    <t>International outgoing fixed telephone traffic</t>
  </si>
  <si>
    <t xml:space="preserve">International incoming and outgoing fixed-telephone traffic </t>
  </si>
  <si>
    <t>Outgoing mobile traffic to fixed networks</t>
  </si>
  <si>
    <t>Note: 2018 fixed to fixed traffic of 15099900000 appears to be an outlier and so the average of 2019 and 2017 were used.</t>
  </si>
  <si>
    <t>Note: 2018 traffic appear to be low and may not reflect all the changes in new fibre operators, so increased volumes by:</t>
  </si>
  <si>
    <t>Note: 2020 traffic appear to be low and may not reflect all the changes in new fibre operators, so increased volumes by:</t>
  </si>
  <si>
    <t>Note: 2021 traffic appear to be low and may not reflect all the changes in new fibre operators, so increased volumes by:</t>
  </si>
  <si>
    <t>Core network element costs</t>
  </si>
  <si>
    <t>Capex price trend</t>
  </si>
  <si>
    <t>Opex price trend</t>
  </si>
  <si>
    <t>Opex price index</t>
  </si>
  <si>
    <t>Opex as a % of capex</t>
  </si>
  <si>
    <t>Core network elements - unit capital expenditure costs</t>
  </si>
  <si>
    <t>unit_costs_core_capex</t>
  </si>
  <si>
    <t>Core network elements - unit operating costs</t>
  </si>
  <si>
    <t>unit_costs_core_opex</t>
  </si>
  <si>
    <t>Macroeconomic data</t>
  </si>
  <si>
    <t>Country</t>
  </si>
  <si>
    <t>Subject Descriptor</t>
  </si>
  <si>
    <t>South Africa</t>
  </si>
  <si>
    <t>Headline CPI (YoY rates)</t>
  </si>
  <si>
    <t>Source</t>
  </si>
  <si>
    <t>StatsSA (2013-2022)</t>
  </si>
  <si>
    <t>https://www.statssa.gov.za/publications/P0141/CPIHistory.pdf?</t>
  </si>
  <si>
    <t>SARB (2023-2025)</t>
  </si>
  <si>
    <t xml:space="preserve">2026-2048: Assumed the SARB's steady state of 4.5% </t>
  </si>
  <si>
    <t>Assume SARB's annual forecasts are average rates.</t>
  </si>
  <si>
    <t>Risk free rate</t>
  </si>
  <si>
    <t>Tenure</t>
  </si>
  <si>
    <t>91 days</t>
  </si>
  <si>
    <t>Treasury bill</t>
  </si>
  <si>
    <t>364-day</t>
  </si>
  <si>
    <t>3-5 years (average bond yields)</t>
  </si>
  <si>
    <t>Bonds</t>
  </si>
  <si>
    <t>5-10 years (average bond yields)</t>
  </si>
  <si>
    <t>10 years and longer (average bond yields)</t>
  </si>
  <si>
    <t>SARB: Treasury and bond yields</t>
  </si>
  <si>
    <t>https://www.resbank.co.za/en/home/what-we-do/statistics/key-statistics/current-market-rates</t>
  </si>
  <si>
    <t>Treasury yields as at 20/02/2023</t>
  </si>
  <si>
    <t>Bond yields as at 21/02/2023</t>
  </si>
  <si>
    <t>Average annual exchange rate</t>
  </si>
  <si>
    <t>USD/ZAR</t>
  </si>
  <si>
    <t>GBP/ZAR</t>
  </si>
  <si>
    <t>EUR/ZAR</t>
  </si>
  <si>
    <t>Compound Annual Growth Rate (USD/ZAR)</t>
  </si>
  <si>
    <t>2026-2030</t>
  </si>
  <si>
    <t>2031-2035</t>
  </si>
  <si>
    <t>Compound Annual Growth Rate (GBP/ZAR)</t>
  </si>
  <si>
    <t>Compound Annual Growth Rate (EUR/ZAR)</t>
  </si>
  <si>
    <t>We assume the exchange rates for 2036-2048 will take on a steady state value equal to the exchange rate as at 2035.</t>
  </si>
  <si>
    <t>Annualising Investec's average exchange rate figures</t>
  </si>
  <si>
    <t>Q1</t>
  </si>
  <si>
    <t>Q2</t>
  </si>
  <si>
    <t>Q3</t>
  </si>
  <si>
    <t>Q4</t>
  </si>
  <si>
    <t>USD/ZAR (Investec)</t>
  </si>
  <si>
    <t>Annual rate</t>
  </si>
  <si>
    <t>GBP/ZAR (Investec)</t>
  </si>
  <si>
    <t>EUR/ZAR (Investec)</t>
  </si>
  <si>
    <t>2013-2022 average annual exchange rates were derived from the SARB's daily exchange rate data</t>
  </si>
  <si>
    <t>https://www,resbank,co,za/en/home/what-we-do/statistics/key-statistics/selected-historical-rates</t>
  </si>
  <si>
    <t>2023-2025 rates are from Investec.</t>
  </si>
  <si>
    <t>2026-2030: We assume the exchange rate grows at the same compounding annual growth rate over the 2018-2025 period (7 years).</t>
  </si>
  <si>
    <t>2031-2035: We assume the growth rate for this period to be half that of the 2026-2030 period.</t>
  </si>
  <si>
    <t>Lists</t>
  </si>
  <si>
    <t>growth_scenarios</t>
  </si>
  <si>
    <t>Low growth scenario</t>
  </si>
  <si>
    <t>High growth scenario</t>
  </si>
  <si>
    <t>years</t>
  </si>
  <si>
    <t>Operator Confidential Data</t>
  </si>
  <si>
    <t>[Placeholder for operator data]</t>
  </si>
  <si>
    <t>Currency scenario</t>
  </si>
  <si>
    <t>Low scenario</t>
  </si>
  <si>
    <t>Currency_scenario</t>
  </si>
  <si>
    <t>Base scenario</t>
  </si>
  <si>
    <t>High scenario</t>
  </si>
  <si>
    <t>Incoming fixed to fixed traffic</t>
  </si>
  <si>
    <t>Bottom-up long-run incremental cost model - fixed</t>
  </si>
  <si>
    <t>Pure LRIC termination cost</t>
  </si>
  <si>
    <t>Assets</t>
  </si>
  <si>
    <t>Revenues</t>
  </si>
  <si>
    <t>In this tab, the revenue outcomes from the tariffs and tariff profile are computed.</t>
  </si>
  <si>
    <t>Pure LRIC revenues</t>
  </si>
  <si>
    <t>PV of pure LRIC revenues</t>
  </si>
  <si>
    <t>PV of pure LRIC revenues - total</t>
  </si>
  <si>
    <t>lric_revenues</t>
  </si>
  <si>
    <t>Network operating expenditure and depreciation</t>
  </si>
  <si>
    <t>Depreciation</t>
  </si>
  <si>
    <t>Total network operating expenditure plus depreciation</t>
  </si>
  <si>
    <t>The historical and book value of the assets purchased in each year are shown here.</t>
  </si>
  <si>
    <t>Opening value</t>
  </si>
  <si>
    <t>Purchases</t>
  </si>
  <si>
    <t>Value during year</t>
  </si>
  <si>
    <t>Depreciation - straight line</t>
  </si>
  <si>
    <t>Closing value</t>
  </si>
  <si>
    <t>depreciation_straightline</t>
  </si>
  <si>
    <t>PV</t>
  </si>
  <si>
    <t>Asset beta</t>
  </si>
  <si>
    <t>Nominal WACC - post-tax</t>
  </si>
  <si>
    <t>Company tax rate</t>
  </si>
  <si>
    <t>Risk free rate in SA - 10 year government bond</t>
  </si>
  <si>
    <t>South Africa — Orbitax Corporate Tax Rates</t>
  </si>
  <si>
    <t xml:space="preserve">The tax rate dropped on 1 August 2022. </t>
  </si>
  <si>
    <r>
      <t xml:space="preserve">South Africa 10 Years Bond - Historical Data - </t>
    </r>
    <r>
      <rPr>
        <b/>
        <i/>
        <u/>
        <sz val="11"/>
        <color theme="10"/>
        <rFont val="Calibri"/>
        <family val="2"/>
        <scheme val="minor"/>
      </rPr>
      <t>http://www.worldgovernmentbonds.com/bond-historical-data/south-africa/10-years/</t>
    </r>
  </si>
  <si>
    <t xml:space="preserve">This is a header tab and has been left blank intentionally. </t>
  </si>
  <si>
    <t>https://www.resbank.co.za/content/dam/sarb/publications/statements/monetary-policy-statements/2023/september/Forecast%20September%202023.pdf</t>
  </si>
  <si>
    <t>https://www.investec.com/content/dam/south-africa/content-hub/annabel-bishop/rand-note/Rand-note-9-Oct-2023.pdf</t>
  </si>
  <si>
    <t>Debt premium</t>
  </si>
  <si>
    <t>Equity beta</t>
  </si>
  <si>
    <t>Equity rsk premium</t>
  </si>
  <si>
    <t>Cost of debt - nominal pre-tax</t>
  </si>
  <si>
    <t>Cost of equity - nominal post-tax</t>
  </si>
  <si>
    <t>Operator data</t>
  </si>
  <si>
    <t>Asset table B: Incremental assets added at beginning of each year - capex</t>
  </si>
  <si>
    <t>Asset Table C: Assets fully depreciated during the year</t>
  </si>
  <si>
    <t>Asset Table D: Net assets after depreciation at end of year</t>
  </si>
  <si>
    <t>Asset Table E: Assets active during the year for opex</t>
  </si>
  <si>
    <t>Asset table A: Asset demand in each year</t>
  </si>
  <si>
    <t>This is calculated by subtracting assets available from the previous year (calculated below in Asset table C) from assets demanded calculated above in Asset Table A</t>
  </si>
  <si>
    <t>This is calculated by looking up asset purchased the number of years equal to the economic life of the asset prior to the present year.</t>
  </si>
  <si>
    <t>This is calculated by adding assets at the end of the previous year (this table) to assets procured at the beginning of the year (Table B) and subtracting depreciated assets (Table C):</t>
  </si>
  <si>
    <t>This is computed by adding net assets available after depreciation at end of prior year (Table D) to assets added at the beginning of the current year (Table B)</t>
  </si>
  <si>
    <t>core_number_opex</t>
  </si>
  <si>
    <t>core_number_noincoming_voice_opex</t>
  </si>
  <si>
    <t>core_increm_noincoming_capex</t>
  </si>
  <si>
    <t>core_increm_capex</t>
  </si>
  <si>
    <t>C Incoming only</t>
  </si>
  <si>
    <t>C incoming only</t>
  </si>
  <si>
    <t>core_number_incoming_only_opex</t>
  </si>
  <si>
    <t>B No incoming</t>
  </si>
  <si>
    <t>C Incoming Only</t>
  </si>
  <si>
    <t>core_increm_incoming_only_capex</t>
  </si>
  <si>
    <t>Capex price index</t>
  </si>
  <si>
    <t>capex_price_trend</t>
  </si>
  <si>
    <t>capex_price_index</t>
  </si>
  <si>
    <t>opex_price_index</t>
  </si>
  <si>
    <t>The rate on 31 December was used for 2018-2022 and the rate on 24 August was used for 2023. 
The 2023 rate was assumed to apply to the remaining years.</t>
  </si>
  <si>
    <t>wacc_nom_pretax</t>
  </si>
  <si>
    <t>wacc_real_pretax</t>
  </si>
  <si>
    <t>core_costs_opex</t>
  </si>
  <si>
    <t>core_costs_opex_noincoming</t>
  </si>
  <si>
    <t>core_costs_opex_incoming_only</t>
  </si>
  <si>
    <t>Total Core Capex</t>
  </si>
  <si>
    <t>Total Core Opex</t>
  </si>
  <si>
    <t>total_costs_core_capex</t>
  </si>
  <si>
    <t>total_costs_core_opex</t>
  </si>
  <si>
    <t>core_costs_capex</t>
  </si>
  <si>
    <t>6 - Termination</t>
  </si>
  <si>
    <t>Volumes</t>
  </si>
  <si>
    <t>core_costs_capex_discounted</t>
  </si>
  <si>
    <t>Discounted opex costs</t>
  </si>
  <si>
    <t>Discounted costs capex</t>
  </si>
  <si>
    <t>core_costs_opex_discounted</t>
  </si>
  <si>
    <t>core_costs_capex_discounted_pv</t>
  </si>
  <si>
    <t>core_costs_opex_discounted_pv</t>
  </si>
  <si>
    <t>Discounted capex / wacc index</t>
  </si>
  <si>
    <t>Discounted OPEX</t>
  </si>
  <si>
    <t>CAPEX Vols</t>
  </si>
  <si>
    <t>CAPEX Price Indexed volumes</t>
  </si>
  <si>
    <t xml:space="preserve">Discounted capex/ wacc index </t>
  </si>
  <si>
    <t>volume_ed_capex</t>
  </si>
  <si>
    <t>Capex revenues</t>
  </si>
  <si>
    <t>volume_ed_opex</t>
  </si>
  <si>
    <t>Opex revenues</t>
  </si>
  <si>
    <t>core_costs_incoming_only</t>
  </si>
  <si>
    <t>core_costs_incoming_only_discounted_pv</t>
  </si>
  <si>
    <t>core_costs_opex_incomingonly_discounted_pv</t>
  </si>
  <si>
    <t>Pure LRIC Termination cost</t>
  </si>
  <si>
    <t>opex_tariff</t>
  </si>
  <si>
    <t>capex_tariff</t>
  </si>
  <si>
    <t>pure_lric</t>
  </si>
  <si>
    <t>REVENUE CHECK</t>
  </si>
  <si>
    <t xml:space="preserve">Pure LRIC Termination cost PV </t>
  </si>
  <si>
    <t>Discounted capex tariff</t>
  </si>
  <si>
    <t>CAPEX tariff</t>
  </si>
  <si>
    <t>OPEX tariff</t>
  </si>
  <si>
    <t>Discounted opex tariff</t>
  </si>
  <si>
    <t>pv_opex_volumes</t>
  </si>
  <si>
    <t>pv_capex_volumes</t>
  </si>
  <si>
    <t>Check</t>
  </si>
  <si>
    <t>Discounted Revenues = starting capex and opex</t>
  </si>
  <si>
    <t>Discounted revenues</t>
  </si>
  <si>
    <t>termination rate x volumes</t>
  </si>
  <si>
    <t>opex revenue + capex revenues</t>
  </si>
  <si>
    <t>Discounted costs</t>
  </si>
  <si>
    <t>discounted capex revenues</t>
  </si>
  <si>
    <t>discounted opex revenues</t>
  </si>
  <si>
    <t>Stakeholder submission</t>
  </si>
  <si>
    <t>Source: Operator submission</t>
  </si>
  <si>
    <t>Considered part of Access SBC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</si>
</sst>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00_);_(* \(#,##0.00\);_(* &quot;-&quot;??_);_(@_)"/>
    <numFmt numFmtId="165" formatCode="0.0"/>
    <numFmt numFmtId="166" formatCode="_-* #,##0_-;\-* #,##0_-;_-* &quot;-&quot;??_-;_-@_-"/>
    <numFmt numFmtId="167" formatCode="0.0%"/>
    <numFmt numFmtId="168" formatCode="_-* #,##0_-;\-* #,##0_-;_-* &quot;-&quot;?_-;_-@_-"/>
    <numFmt numFmtId="169" formatCode="_-* #,##0.0_-;\-* #,##0.0_-;_-* &quot;-&quot;??_-;_-@_-"/>
    <numFmt numFmtId="170" formatCode="_-* #,##0.0_-;\-* #,##0.0_-;_-* &quot;-&quot;?_-;_-@_-"/>
    <numFmt numFmtId="171" formatCode="_-* #,##0_-;\-* #,##0_-;_-* &quot;-&quot;???_-;_-@_-"/>
    <numFmt numFmtId="172" formatCode="* _(#,##0_);[Red]* \(#,##0\);* _(&quot;-&quot;?_);@_)"/>
    <numFmt numFmtId="173" formatCode="#,##0_);[Red]\-#,##0_);0_);@_)"/>
    <numFmt numFmtId="174" formatCode="0.0000%"/>
    <numFmt numFmtId="175" formatCode="_-[$R-1C09]* #,##0.00_-;\-[$R-1C09]* #,##0.00_-;_-[$R-1C09]* &quot;-&quot;??_-;_-@_-"/>
    <numFmt numFmtId="176" formatCode="_-* #,##0.0000_-;\-* #,##0.0000_-;_-* &quot;-&quot;??_-;_-@_-"/>
    <numFmt numFmtId="177" formatCode="_-[$R-1C09]* #,##0_-;\-[$R-1C09]* #,##0_-;_-[$R-1C09]* &quot;-&quot;??_-;_-@_-"/>
    <numFmt numFmtId="178" formatCode="_-* #,##0.000_-;\-* #,##0.000_-;_-* &quot;-&quot;??_-;_-@_-"/>
    <numFmt numFmtId="179" formatCode="0.00000"/>
    <numFmt numFmtId="180" formatCode="_-* #,##0.00000_-;\-* #,##0.00000_-;_-* &quot;-&quot;??_-;_-@_-"/>
    <numFmt numFmtId="181" formatCode="0.0000"/>
  </numFmts>
  <fonts count="34" x14ac:knownFonts="1">
    <font>
      <sz val="11"/>
      <color theme="1"/>
      <name val="Calibri"/>
      <family val="2"/>
      <scheme val="minor"/>
    </font>
    <font>
      <sz val="8"/>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sz val="11"/>
      <name val="Calibri"/>
      <family val="2"/>
      <scheme val="minor"/>
    </font>
    <font>
      <i/>
      <sz val="11"/>
      <color rgb="FFFF0000"/>
      <name val="Calibri"/>
      <family val="2"/>
      <scheme val="minor"/>
    </font>
    <font>
      <i/>
      <sz val="11"/>
      <color theme="9" tint="-0.249977111117893"/>
      <name val="Calibri"/>
      <family val="2"/>
      <scheme val="minor"/>
    </font>
    <font>
      <b/>
      <i/>
      <sz val="11"/>
      <color theme="1"/>
      <name val="Calibri"/>
      <family val="2"/>
      <scheme val="minor"/>
    </font>
    <font>
      <sz val="10"/>
      <color theme="1"/>
      <name val="Arial"/>
      <family val="2"/>
    </font>
    <font>
      <b/>
      <sz val="11"/>
      <name val="Calibri"/>
      <family val="2"/>
      <scheme val="minor"/>
    </font>
    <font>
      <sz val="9"/>
      <name val="Arial"/>
      <family val="2"/>
    </font>
    <font>
      <b/>
      <sz val="14"/>
      <name val="Arial"/>
      <family val="2"/>
    </font>
    <font>
      <b/>
      <sz val="9"/>
      <name val="Arial"/>
      <family val="2"/>
    </font>
    <font>
      <b/>
      <i/>
      <sz val="11"/>
      <color rgb="FFFF0000"/>
      <name val="Calibri"/>
      <family val="2"/>
      <scheme val="minor"/>
    </font>
    <font>
      <b/>
      <sz val="11"/>
      <color rgb="FF000000"/>
      <name val="Calibri"/>
      <family val="2"/>
      <scheme val="minor"/>
    </font>
    <font>
      <sz val="11"/>
      <color rgb="FF000000"/>
      <name val="Calibri"/>
      <family val="2"/>
      <scheme val="minor"/>
    </font>
    <font>
      <sz val="11"/>
      <color theme="9"/>
      <name val="Calibri"/>
      <family val="2"/>
      <scheme val="minor"/>
    </font>
    <font>
      <b/>
      <sz val="11"/>
      <color rgb="FFFF0000"/>
      <name val="Calibri"/>
      <family val="2"/>
      <scheme val="minor"/>
    </font>
    <font>
      <i/>
      <sz val="11"/>
      <name val="Calibri"/>
      <family val="2"/>
      <scheme val="minor"/>
    </font>
    <font>
      <b/>
      <sz val="14"/>
      <name val="Calibri"/>
      <family val="2"/>
      <scheme val="minor"/>
    </font>
    <font>
      <b/>
      <sz val="14"/>
      <color theme="1"/>
      <name val="Calibri"/>
      <family val="2"/>
      <scheme val="minor"/>
    </font>
    <font>
      <sz val="14"/>
      <color theme="1"/>
      <name val="Calibri"/>
      <family val="2"/>
      <scheme val="minor"/>
    </font>
    <font>
      <sz val="9"/>
      <name val="Calibri"/>
      <family val="2"/>
      <scheme val="minor"/>
    </font>
    <font>
      <b/>
      <sz val="9"/>
      <name val="Calibri"/>
      <family val="2"/>
      <scheme val="minor"/>
    </font>
    <font>
      <b/>
      <sz val="16"/>
      <name val="Calibri"/>
      <family val="2"/>
      <scheme val="minor"/>
    </font>
    <font>
      <b/>
      <sz val="13"/>
      <color theme="1"/>
      <name val="Calibri"/>
      <family val="2"/>
      <scheme val="minor"/>
    </font>
    <font>
      <b/>
      <i/>
      <sz val="11"/>
      <color rgb="FF000000"/>
      <name val="Calibri"/>
      <family val="2"/>
      <scheme val="minor"/>
    </font>
    <font>
      <i/>
      <u/>
      <sz val="11"/>
      <color theme="10"/>
      <name val="Calibri"/>
      <family val="2"/>
      <scheme val="minor"/>
    </font>
    <font>
      <b/>
      <i/>
      <u/>
      <sz val="11"/>
      <color theme="10"/>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9" tint="0.59999389629810485"/>
        <bgColor indexed="64"/>
      </patternFill>
    </fill>
    <fill>
      <patternFill patternType="solid">
        <fgColor indexed="42"/>
        <bgColor indexed="64"/>
      </patternFill>
    </fill>
    <fill>
      <patternFill patternType="solid">
        <fgColor indexed="11"/>
        <bgColor indexed="64"/>
      </patternFill>
    </fill>
    <fill>
      <patternFill patternType="solid">
        <fgColor indexed="13"/>
        <bgColor indexed="64"/>
      </patternFill>
    </fill>
    <fill>
      <patternFill patternType="solid">
        <fgColor indexed="13"/>
        <bgColor indexed="15"/>
      </patternFill>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FFFFF"/>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57"/>
      </left>
      <right style="thin">
        <color indexed="57"/>
      </right>
      <top style="thin">
        <color indexed="57"/>
      </top>
      <bottom style="thin">
        <color indexed="57"/>
      </bottom>
      <diagonal/>
    </border>
    <border>
      <left style="thin">
        <color indexed="64"/>
      </left>
      <right style="thin">
        <color indexed="64"/>
      </right>
      <top style="thin">
        <color indexed="64"/>
      </top>
      <bottom/>
      <diagonal/>
    </border>
    <border>
      <left style="dotted">
        <color indexed="57"/>
      </left>
      <right style="dotted">
        <color indexed="57"/>
      </right>
      <top style="dotted">
        <color indexed="57"/>
      </top>
      <bottom style="dotted">
        <color indexed="57"/>
      </bottom>
      <diagonal/>
    </border>
  </borders>
  <cellStyleXfs count="16">
    <xf numFmtId="0" fontId="0" fillId="0" borderId="0"/>
    <xf numFmtId="43" fontId="3" fillId="0" borderId="0" applyFon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xf numFmtId="38" fontId="13" fillId="0" borderId="15">
      <alignment vertical="center"/>
      <protection locked="0"/>
    </xf>
    <xf numFmtId="0" fontId="15" fillId="4" borderId="0" applyNumberFormat="0" applyAlignment="0">
      <alignment vertical="center"/>
    </xf>
    <xf numFmtId="0" fontId="15" fillId="0" borderId="15" applyNumberFormat="0" applyAlignment="0">
      <alignment vertical="center"/>
      <protection locked="0"/>
    </xf>
    <xf numFmtId="172" fontId="15" fillId="0" borderId="0" applyFont="0" applyFill="0" applyBorder="0" applyAlignment="0" applyProtection="0">
      <alignment vertical="center"/>
    </xf>
    <xf numFmtId="0" fontId="15" fillId="6" borderId="0" applyNumberFormat="0" applyFont="0" applyBorder="0" applyAlignment="0" applyProtection="0">
      <alignment vertical="center"/>
    </xf>
    <xf numFmtId="0" fontId="15" fillId="0" borderId="17" applyNumberFormat="0" applyAlignment="0">
      <alignment vertical="center"/>
    </xf>
    <xf numFmtId="173" fontId="15" fillId="7" borderId="15" applyNumberFormat="0" applyAlignment="0">
      <alignment vertical="center"/>
      <protection locked="0"/>
    </xf>
    <xf numFmtId="0" fontId="15" fillId="5" borderId="0" applyNumberFormat="0" applyAlignment="0">
      <alignment vertical="center"/>
    </xf>
    <xf numFmtId="0" fontId="16" fillId="0" borderId="0" applyNumberFormat="0" applyFill="0" applyBorder="0" applyAlignment="0" applyProtection="0">
      <alignment vertical="center"/>
    </xf>
    <xf numFmtId="0" fontId="17" fillId="8" borderId="0" applyNumberFormat="0">
      <alignment horizontal="center" vertical="top" wrapText="1"/>
    </xf>
    <xf numFmtId="172" fontId="15" fillId="0" borderId="0" applyFont="0" applyFill="0" applyBorder="0" applyAlignment="0" applyProtection="0">
      <alignment vertical="center"/>
    </xf>
    <xf numFmtId="164" fontId="3" fillId="0" borderId="0" applyFont="0" applyFill="0" applyBorder="0" applyAlignment="0" applyProtection="0"/>
  </cellStyleXfs>
  <cellXfs count="260">
    <xf numFmtId="0" fontId="0" fillId="0" borderId="0" xfId="0"/>
    <xf numFmtId="0" fontId="2" fillId="0" borderId="0" xfId="0" applyFont="1"/>
    <xf numFmtId="0" fontId="4" fillId="0" borderId="0" xfId="0" applyFont="1"/>
    <xf numFmtId="2" fontId="0" fillId="0" borderId="9" xfId="0" applyNumberFormat="1" applyBorder="1"/>
    <xf numFmtId="166" fontId="0" fillId="0" borderId="9" xfId="0" applyNumberFormat="1" applyBorder="1"/>
    <xf numFmtId="166" fontId="0" fillId="0" borderId="9" xfId="1" applyNumberFormat="1" applyFont="1" applyBorder="1"/>
    <xf numFmtId="0" fontId="10" fillId="0" borderId="0" xfId="0" applyFont="1"/>
    <xf numFmtId="0" fontId="0" fillId="0" borderId="9" xfId="0" applyBorder="1"/>
    <xf numFmtId="9" fontId="0" fillId="2" borderId="9" xfId="0" applyNumberFormat="1" applyFill="1" applyBorder="1"/>
    <xf numFmtId="43" fontId="0" fillId="0" borderId="9" xfId="1" applyFont="1" applyBorder="1"/>
    <xf numFmtId="0" fontId="0" fillId="2" borderId="9" xfId="0" applyFill="1" applyBorder="1"/>
    <xf numFmtId="166" fontId="0" fillId="0" borderId="9" xfId="1" applyNumberFormat="1" applyFont="1" applyFill="1" applyBorder="1"/>
    <xf numFmtId="0" fontId="7" fillId="9" borderId="0" xfId="0" applyFont="1" applyFill="1" applyAlignment="1">
      <alignment vertical="center"/>
    </xf>
    <xf numFmtId="0" fontId="0" fillId="9" borderId="0" xfId="0" applyFill="1"/>
    <xf numFmtId="0" fontId="10" fillId="9" borderId="0" xfId="0" applyFont="1" applyFill="1" applyAlignment="1">
      <alignment wrapText="1"/>
    </xf>
    <xf numFmtId="0" fontId="4" fillId="9" borderId="9" xfId="0" applyFont="1" applyFill="1" applyBorder="1"/>
    <xf numFmtId="0" fontId="10" fillId="9" borderId="0" xfId="0" applyFont="1" applyFill="1"/>
    <xf numFmtId="166" fontId="0" fillId="9" borderId="9" xfId="0" applyNumberFormat="1" applyFill="1" applyBorder="1"/>
    <xf numFmtId="0" fontId="0" fillId="9" borderId="9" xfId="0" applyFill="1" applyBorder="1"/>
    <xf numFmtId="0" fontId="9" fillId="9" borderId="0" xfId="0" applyFont="1" applyFill="1"/>
    <xf numFmtId="0" fontId="6" fillId="9" borderId="0" xfId="3" applyFill="1"/>
    <xf numFmtId="0" fontId="6" fillId="9" borderId="0" xfId="3" applyFill="1" applyBorder="1"/>
    <xf numFmtId="0" fontId="4" fillId="9" borderId="0" xfId="0" applyFont="1" applyFill="1"/>
    <xf numFmtId="0" fontId="4" fillId="9" borderId="11" xfId="0" applyFont="1" applyFill="1" applyBorder="1"/>
    <xf numFmtId="166" fontId="0" fillId="9" borderId="0" xfId="0" applyNumberFormat="1" applyFill="1"/>
    <xf numFmtId="10" fontId="0" fillId="9" borderId="0" xfId="0" applyNumberFormat="1" applyFill="1"/>
    <xf numFmtId="10" fontId="0" fillId="9" borderId="9" xfId="0" applyNumberFormat="1" applyFill="1" applyBorder="1"/>
    <xf numFmtId="166" fontId="0" fillId="9" borderId="9" xfId="1" applyNumberFormat="1" applyFont="1" applyFill="1" applyBorder="1"/>
    <xf numFmtId="0" fontId="24" fillId="10" borderId="0" xfId="0" applyFont="1" applyFill="1" applyAlignment="1">
      <alignment vertical="center"/>
    </xf>
    <xf numFmtId="0" fontId="7" fillId="10" borderId="0" xfId="0" applyFont="1" applyFill="1" applyAlignment="1">
      <alignment vertical="center"/>
    </xf>
    <xf numFmtId="0" fontId="4" fillId="10" borderId="9" xfId="0" applyFont="1" applyFill="1" applyBorder="1"/>
    <xf numFmtId="0" fontId="4" fillId="10" borderId="11" xfId="0" applyFont="1" applyFill="1" applyBorder="1"/>
    <xf numFmtId="0" fontId="4" fillId="10" borderId="9" xfId="0" applyFont="1" applyFill="1" applyBorder="1" applyAlignment="1">
      <alignment wrapText="1"/>
    </xf>
    <xf numFmtId="10" fontId="4" fillId="10" borderId="9" xfId="0" applyNumberFormat="1" applyFont="1" applyFill="1" applyBorder="1" applyAlignment="1">
      <alignment wrapText="1"/>
    </xf>
    <xf numFmtId="0" fontId="0" fillId="9" borderId="11" xfId="0" applyFill="1" applyBorder="1"/>
    <xf numFmtId="0" fontId="4" fillId="9" borderId="1" xfId="0" applyFont="1" applyFill="1" applyBorder="1"/>
    <xf numFmtId="0" fontId="0" fillId="9" borderId="2" xfId="0" applyFill="1" applyBorder="1"/>
    <xf numFmtId="0" fontId="0" fillId="9" borderId="3" xfId="0" applyFill="1" applyBorder="1"/>
    <xf numFmtId="0" fontId="0" fillId="9" borderId="4" xfId="0" applyFill="1" applyBorder="1"/>
    <xf numFmtId="0" fontId="0" fillId="9" borderId="5" xfId="0" applyFill="1" applyBorder="1"/>
    <xf numFmtId="0" fontId="0" fillId="9" borderId="0" xfId="0" applyFill="1" applyAlignment="1">
      <alignment wrapText="1"/>
    </xf>
    <xf numFmtId="0" fontId="0" fillId="9" borderId="10" xfId="0" applyFill="1" applyBorder="1"/>
    <xf numFmtId="0" fontId="0" fillId="9" borderId="9" xfId="0" applyFill="1" applyBorder="1" applyAlignment="1">
      <alignment wrapText="1"/>
    </xf>
    <xf numFmtId="0" fontId="0" fillId="9" borderId="4" xfId="0" applyFill="1" applyBorder="1" applyAlignment="1">
      <alignment wrapText="1"/>
    </xf>
    <xf numFmtId="0" fontId="0" fillId="9" borderId="16" xfId="0" applyFill="1" applyBorder="1"/>
    <xf numFmtId="0" fontId="0" fillId="9" borderId="6" xfId="0" applyFill="1" applyBorder="1"/>
    <xf numFmtId="0" fontId="0" fillId="9" borderId="7" xfId="0" applyFill="1" applyBorder="1"/>
    <xf numFmtId="0" fontId="0" fillId="9" borderId="8" xfId="0" applyFill="1" applyBorder="1"/>
    <xf numFmtId="0" fontId="4" fillId="9" borderId="9" xfId="0" applyFont="1" applyFill="1" applyBorder="1" applyAlignment="1">
      <alignment horizontal="center"/>
    </xf>
    <xf numFmtId="0" fontId="4" fillId="10" borderId="0" xfId="0" applyFont="1" applyFill="1"/>
    <xf numFmtId="0" fontId="0" fillId="10" borderId="0" xfId="0" applyFill="1"/>
    <xf numFmtId="0" fontId="25" fillId="10" borderId="0" xfId="0" applyFont="1" applyFill="1"/>
    <xf numFmtId="0" fontId="26" fillId="10" borderId="0" xfId="0" applyFont="1" applyFill="1"/>
    <xf numFmtId="0" fontId="4" fillId="10" borderId="9" xfId="0" applyFont="1" applyFill="1" applyBorder="1" applyAlignment="1">
      <alignment horizontal="center"/>
    </xf>
    <xf numFmtId="0" fontId="4" fillId="10" borderId="16" xfId="0" applyFont="1" applyFill="1" applyBorder="1" applyAlignment="1">
      <alignment horizontal="center"/>
    </xf>
    <xf numFmtId="0" fontId="0" fillId="10" borderId="9" xfId="0" applyFill="1" applyBorder="1" applyAlignment="1">
      <alignment wrapText="1"/>
    </xf>
    <xf numFmtId="0" fontId="25" fillId="10" borderId="0" xfId="0" applyFont="1" applyFill="1" applyAlignment="1">
      <alignment wrapText="1"/>
    </xf>
    <xf numFmtId="0" fontId="4" fillId="9" borderId="0" xfId="0" applyFont="1" applyFill="1" applyAlignment="1">
      <alignment wrapText="1"/>
    </xf>
    <xf numFmtId="0" fontId="22" fillId="9" borderId="0" xfId="0" applyFont="1" applyFill="1" applyAlignment="1">
      <alignment wrapText="1"/>
    </xf>
    <xf numFmtId="0" fontId="4" fillId="9" borderId="4" xfId="0" applyFont="1" applyFill="1" applyBorder="1"/>
    <xf numFmtId="175" fontId="0" fillId="9" borderId="0" xfId="0" applyNumberFormat="1" applyFill="1"/>
    <xf numFmtId="167" fontId="0" fillId="9" borderId="9" xfId="2" applyNumberFormat="1" applyFont="1" applyFill="1" applyBorder="1"/>
    <xf numFmtId="10" fontId="0" fillId="9" borderId="0" xfId="0" applyNumberFormat="1" applyFill="1" applyAlignment="1">
      <alignment wrapText="1"/>
    </xf>
    <xf numFmtId="10" fontId="4" fillId="9" borderId="0" xfId="0" applyNumberFormat="1" applyFont="1" applyFill="1" applyAlignment="1">
      <alignment wrapText="1"/>
    </xf>
    <xf numFmtId="10" fontId="4" fillId="9" borderId="0" xfId="0" applyNumberFormat="1" applyFont="1" applyFill="1"/>
    <xf numFmtId="166" fontId="4" fillId="9" borderId="0" xfId="0" applyNumberFormat="1" applyFont="1" applyFill="1"/>
    <xf numFmtId="0" fontId="0" fillId="10" borderId="9" xfId="0" applyFill="1" applyBorder="1" applyAlignment="1">
      <alignment horizontal="center"/>
    </xf>
    <xf numFmtId="0" fontId="14" fillId="9" borderId="0" xfId="0" applyFont="1" applyFill="1" applyAlignment="1">
      <alignment wrapText="1"/>
    </xf>
    <xf numFmtId="0" fontId="9" fillId="9" borderId="0" xfId="0" applyFont="1" applyFill="1" applyAlignment="1">
      <alignment wrapText="1"/>
    </xf>
    <xf numFmtId="177" fontId="0" fillId="9" borderId="9" xfId="0" applyNumberFormat="1" applyFill="1" applyBorder="1"/>
    <xf numFmtId="177" fontId="0" fillId="9" borderId="11" xfId="0" applyNumberFormat="1" applyFill="1" applyBorder="1"/>
    <xf numFmtId="177" fontId="0" fillId="9" borderId="16" xfId="0" applyNumberFormat="1" applyFill="1" applyBorder="1"/>
    <xf numFmtId="166" fontId="0" fillId="9" borderId="10" xfId="1" applyNumberFormat="1" applyFont="1" applyFill="1" applyBorder="1"/>
    <xf numFmtId="43" fontId="0" fillId="9" borderId="0" xfId="1" applyFont="1" applyFill="1"/>
    <xf numFmtId="166" fontId="9" fillId="9" borderId="9" xfId="1" applyNumberFormat="1" applyFont="1" applyFill="1" applyBorder="1"/>
    <xf numFmtId="166" fontId="0" fillId="9" borderId="10" xfId="0" applyNumberFormat="1" applyFill="1" applyBorder="1"/>
    <xf numFmtId="166" fontId="0" fillId="9" borderId="0" xfId="1" applyNumberFormat="1" applyFont="1" applyFill="1" applyBorder="1"/>
    <xf numFmtId="169" fontId="0" fillId="9" borderId="0" xfId="1" applyNumberFormat="1" applyFont="1" applyFill="1" applyBorder="1"/>
    <xf numFmtId="2" fontId="0" fillId="9" borderId="0" xfId="0" applyNumberFormat="1" applyFill="1"/>
    <xf numFmtId="10" fontId="0" fillId="9" borderId="9" xfId="2" applyNumberFormat="1" applyFont="1" applyFill="1" applyBorder="1"/>
    <xf numFmtId="0" fontId="4" fillId="10" borderId="0" xfId="0" applyFont="1" applyFill="1" applyAlignment="1">
      <alignment wrapText="1"/>
    </xf>
    <xf numFmtId="0" fontId="23" fillId="9" borderId="0" xfId="0" applyFont="1" applyFill="1"/>
    <xf numFmtId="166" fontId="0" fillId="9" borderId="0" xfId="1" applyNumberFormat="1" applyFont="1" applyFill="1"/>
    <xf numFmtId="1" fontId="0" fillId="9" borderId="0" xfId="0" applyNumberFormat="1" applyFill="1"/>
    <xf numFmtId="0" fontId="11" fillId="9" borderId="0" xfId="0" applyFont="1" applyFill="1"/>
    <xf numFmtId="0" fontId="2" fillId="9" borderId="0" xfId="0" applyFont="1" applyFill="1"/>
    <xf numFmtId="0" fontId="2" fillId="10" borderId="0" xfId="0" applyFont="1" applyFill="1"/>
    <xf numFmtId="0" fontId="12" fillId="10" borderId="0" xfId="0" applyFont="1" applyFill="1"/>
    <xf numFmtId="0" fontId="12" fillId="9" borderId="0" xfId="0" applyFont="1" applyFill="1"/>
    <xf numFmtId="0" fontId="16" fillId="10" borderId="0" xfId="0" applyFont="1" applyFill="1"/>
    <xf numFmtId="0" fontId="24" fillId="10" borderId="0" xfId="0" applyFont="1" applyFill="1"/>
    <xf numFmtId="0" fontId="7" fillId="10" borderId="0" xfId="0" applyFont="1" applyFill="1"/>
    <xf numFmtId="0" fontId="7" fillId="9" borderId="0" xfId="0" applyFont="1" applyFill="1"/>
    <xf numFmtId="0" fontId="14" fillId="9" borderId="0" xfId="0" applyFont="1" applyFill="1"/>
    <xf numFmtId="0" fontId="14" fillId="10" borderId="0" xfId="0" applyFont="1" applyFill="1"/>
    <xf numFmtId="0" fontId="10" fillId="9" borderId="9" xfId="0" applyFont="1" applyFill="1" applyBorder="1"/>
    <xf numFmtId="0" fontId="0" fillId="9" borderId="11" xfId="0" applyFill="1" applyBorder="1" applyAlignment="1">
      <alignment wrapText="1"/>
    </xf>
    <xf numFmtId="0" fontId="6" fillId="9" borderId="14" xfId="3" applyFill="1" applyBorder="1" applyAlignment="1"/>
    <xf numFmtId="0" fontId="0" fillId="9" borderId="14" xfId="0" applyFill="1" applyBorder="1"/>
    <xf numFmtId="0" fontId="0" fillId="9" borderId="12" xfId="0" applyFill="1" applyBorder="1"/>
    <xf numFmtId="0" fontId="0" fillId="9" borderId="4" xfId="2" applyNumberFormat="1" applyFont="1" applyFill="1" applyBorder="1" applyAlignment="1">
      <alignment horizontal="left" wrapText="1"/>
    </xf>
    <xf numFmtId="0" fontId="6" fillId="9" borderId="0" xfId="3" applyFill="1" applyBorder="1" applyAlignment="1">
      <alignment horizontal="left" wrapText="1"/>
    </xf>
    <xf numFmtId="0" fontId="6" fillId="9" borderId="0" xfId="3" applyFill="1" applyBorder="1" applyAlignment="1">
      <alignment wrapText="1"/>
    </xf>
    <xf numFmtId="0" fontId="6" fillId="9" borderId="5" xfId="3" applyFill="1" applyBorder="1" applyAlignment="1">
      <alignment wrapText="1"/>
    </xf>
    <xf numFmtId="0" fontId="0" fillId="9" borderId="1" xfId="0" applyFill="1" applyBorder="1"/>
    <xf numFmtId="1" fontId="0" fillId="9" borderId="2" xfId="0" applyNumberFormat="1" applyFill="1" applyBorder="1"/>
    <xf numFmtId="1" fontId="0" fillId="9" borderId="7" xfId="0" applyNumberFormat="1" applyFill="1" applyBorder="1"/>
    <xf numFmtId="9" fontId="0" fillId="9" borderId="5" xfId="2" applyFont="1" applyFill="1" applyBorder="1"/>
    <xf numFmtId="9" fontId="0" fillId="9" borderId="3" xfId="2" applyFont="1" applyFill="1" applyBorder="1"/>
    <xf numFmtId="9" fontId="0" fillId="9" borderId="8" xfId="2" applyFont="1" applyFill="1" applyBorder="1"/>
    <xf numFmtId="0" fontId="0" fillId="9" borderId="16" xfId="0" applyFill="1" applyBorder="1" applyAlignment="1">
      <alignment wrapText="1"/>
    </xf>
    <xf numFmtId="0" fontId="0" fillId="9" borderId="13" xfId="0" applyFill="1" applyBorder="1"/>
    <xf numFmtId="0" fontId="4" fillId="9" borderId="1" xfId="0" applyFont="1" applyFill="1" applyBorder="1" applyAlignment="1">
      <alignment horizontal="left" wrapText="1"/>
    </xf>
    <xf numFmtId="2" fontId="0" fillId="9" borderId="9" xfId="0" applyNumberFormat="1" applyFill="1" applyBorder="1"/>
    <xf numFmtId="0" fontId="0" fillId="9" borderId="2" xfId="0" applyFill="1" applyBorder="1" applyAlignment="1">
      <alignment wrapText="1"/>
    </xf>
    <xf numFmtId="0" fontId="5" fillId="9" borderId="0" xfId="0" applyFont="1" applyFill="1"/>
    <xf numFmtId="1" fontId="9" fillId="9" borderId="0" xfId="0" applyNumberFormat="1" applyFont="1" applyFill="1"/>
    <xf numFmtId="0" fontId="28" fillId="9" borderId="0" xfId="0" applyFont="1" applyFill="1" applyAlignment="1">
      <alignment horizontal="left" vertical="center" wrapText="1"/>
    </xf>
    <xf numFmtId="0" fontId="28" fillId="9" borderId="0" xfId="0" applyFont="1" applyFill="1" applyAlignment="1">
      <alignment horizontal="center" vertical="center" wrapText="1"/>
    </xf>
    <xf numFmtId="3" fontId="27" fillId="9" borderId="0" xfId="0" applyNumberFormat="1" applyFont="1" applyFill="1" applyAlignment="1">
      <alignment horizontal="right" vertical="center" wrapText="1"/>
    </xf>
    <xf numFmtId="0" fontId="27" fillId="9" borderId="0" xfId="0" applyFont="1" applyFill="1" applyAlignment="1">
      <alignment horizontal="right" vertical="center" wrapText="1"/>
    </xf>
    <xf numFmtId="0" fontId="28" fillId="9" borderId="0" xfId="0" applyFont="1" applyFill="1" applyAlignment="1">
      <alignment horizontal="right" vertical="center" wrapText="1"/>
    </xf>
    <xf numFmtId="3" fontId="9" fillId="9" borderId="0" xfId="0" applyNumberFormat="1" applyFont="1" applyFill="1"/>
    <xf numFmtId="165" fontId="9" fillId="9" borderId="0" xfId="0" applyNumberFormat="1" applyFont="1" applyFill="1"/>
    <xf numFmtId="167" fontId="9" fillId="9" borderId="0" xfId="2" applyNumberFormat="1" applyFont="1" applyFill="1" applyBorder="1"/>
    <xf numFmtId="167" fontId="9" fillId="9" borderId="0" xfId="0" applyNumberFormat="1" applyFont="1" applyFill="1"/>
    <xf numFmtId="15" fontId="0" fillId="9" borderId="0" xfId="0" applyNumberFormat="1" applyFill="1"/>
    <xf numFmtId="0" fontId="25" fillId="10" borderId="0" xfId="0" applyFont="1" applyFill="1" applyAlignment="1">
      <alignment horizontal="left" vertical="center"/>
    </xf>
    <xf numFmtId="0" fontId="8" fillId="10" borderId="0" xfId="0" applyFont="1" applyFill="1"/>
    <xf numFmtId="0" fontId="8" fillId="9" borderId="0" xfId="0" applyFont="1" applyFill="1"/>
    <xf numFmtId="0" fontId="12" fillId="10" borderId="9" xfId="0" applyFont="1" applyFill="1" applyBorder="1"/>
    <xf numFmtId="0" fontId="20" fillId="9" borderId="0" xfId="0" applyFont="1" applyFill="1" applyAlignment="1">
      <alignment horizontal="left" vertical="center" wrapText="1" readingOrder="1"/>
    </xf>
    <xf numFmtId="10" fontId="0" fillId="2" borderId="9" xfId="0" applyNumberFormat="1" applyFill="1" applyBorder="1"/>
    <xf numFmtId="0" fontId="29" fillId="10" borderId="0" xfId="0" applyFont="1" applyFill="1"/>
    <xf numFmtId="167" fontId="0" fillId="9" borderId="0" xfId="0" applyNumberFormat="1" applyFill="1"/>
    <xf numFmtId="0" fontId="10" fillId="9" borderId="0" xfId="0" applyFont="1" applyFill="1" applyAlignment="1">
      <alignment vertical="center"/>
    </xf>
    <xf numFmtId="167" fontId="0" fillId="2" borderId="9" xfId="0" applyNumberFormat="1" applyFill="1" applyBorder="1"/>
    <xf numFmtId="0" fontId="20" fillId="9" borderId="0" xfId="0" applyFont="1" applyFill="1" applyAlignment="1">
      <alignment horizontal="right" vertical="center" wrapText="1" readingOrder="1"/>
    </xf>
    <xf numFmtId="0" fontId="20" fillId="9" borderId="9" xfId="0" applyFont="1" applyFill="1" applyBorder="1" applyAlignment="1">
      <alignment horizontal="right" vertical="center" wrapText="1" readingOrder="1"/>
    </xf>
    <xf numFmtId="168" fontId="0" fillId="9" borderId="9" xfId="0" applyNumberFormat="1" applyFill="1" applyBorder="1"/>
    <xf numFmtId="170" fontId="0" fillId="9" borderId="0" xfId="0" applyNumberFormat="1" applyFill="1"/>
    <xf numFmtId="168" fontId="0" fillId="9" borderId="12" xfId="0" applyNumberFormat="1" applyFill="1" applyBorder="1"/>
    <xf numFmtId="171" fontId="0" fillId="9" borderId="10" xfId="0" applyNumberFormat="1" applyFill="1" applyBorder="1"/>
    <xf numFmtId="171" fontId="0" fillId="9" borderId="9" xfId="0" applyNumberFormat="1" applyFill="1" applyBorder="1"/>
    <xf numFmtId="10" fontId="0" fillId="9" borderId="10" xfId="0" applyNumberFormat="1" applyFill="1" applyBorder="1"/>
    <xf numFmtId="0" fontId="0" fillId="10" borderId="14" xfId="0" applyFill="1" applyBorder="1"/>
    <xf numFmtId="0" fontId="0" fillId="10" borderId="12" xfId="0" applyFill="1" applyBorder="1"/>
    <xf numFmtId="0" fontId="19" fillId="10" borderId="0" xfId="0" applyFont="1" applyFill="1" applyAlignment="1">
      <alignment horizontal="left" vertical="center" wrapText="1" readingOrder="1"/>
    </xf>
    <xf numFmtId="0" fontId="20" fillId="10" borderId="0" xfId="0" applyFont="1" applyFill="1" applyAlignment="1">
      <alignment horizontal="left" vertical="center" wrapText="1" readingOrder="1"/>
    </xf>
    <xf numFmtId="0" fontId="20" fillId="10" borderId="0" xfId="0" applyFont="1" applyFill="1" applyAlignment="1">
      <alignment horizontal="right" vertical="center" wrapText="1" readingOrder="1"/>
    </xf>
    <xf numFmtId="0" fontId="9" fillId="10" borderId="0" xfId="0" applyFont="1" applyFill="1"/>
    <xf numFmtId="169" fontId="0" fillId="0" borderId="9" xfId="1" applyNumberFormat="1" applyFont="1" applyBorder="1"/>
    <xf numFmtId="0" fontId="9" fillId="13" borderId="0" xfId="0" applyFont="1" applyFill="1" applyAlignment="1">
      <alignment wrapText="1"/>
    </xf>
    <xf numFmtId="0" fontId="0" fillId="13" borderId="0" xfId="0" applyFill="1"/>
    <xf numFmtId="169" fontId="0" fillId="0" borderId="10" xfId="1" applyNumberFormat="1" applyFont="1" applyBorder="1"/>
    <xf numFmtId="166" fontId="9" fillId="9" borderId="9" xfId="0" applyNumberFormat="1" applyFont="1" applyFill="1" applyBorder="1"/>
    <xf numFmtId="0" fontId="30" fillId="10" borderId="0" xfId="0" applyFont="1" applyFill="1"/>
    <xf numFmtId="0" fontId="0" fillId="13" borderId="0" xfId="0" applyFill="1" applyAlignment="1">
      <alignment vertical="top" wrapText="1"/>
    </xf>
    <xf numFmtId="0" fontId="0" fillId="13" borderId="0" xfId="0" applyFill="1" applyAlignment="1">
      <alignment vertical="top"/>
    </xf>
    <xf numFmtId="0" fontId="10" fillId="10" borderId="0" xfId="0" applyFont="1" applyFill="1" applyAlignment="1">
      <alignment vertical="center"/>
    </xf>
    <xf numFmtId="0" fontId="20" fillId="2" borderId="9" xfId="0" applyFont="1" applyFill="1" applyBorder="1" applyAlignment="1">
      <alignment horizontal="right" vertical="center" wrapText="1" readingOrder="1"/>
    </xf>
    <xf numFmtId="0" fontId="19" fillId="10" borderId="0" xfId="0" applyFont="1" applyFill="1" applyAlignment="1">
      <alignment horizontal="right" vertical="center" wrapText="1" readingOrder="1"/>
    </xf>
    <xf numFmtId="0" fontId="18" fillId="10" borderId="0" xfId="0" applyFont="1" applyFill="1" applyAlignment="1">
      <alignment vertical="center"/>
    </xf>
    <xf numFmtId="9" fontId="20" fillId="2" borderId="9" xfId="0" applyNumberFormat="1" applyFont="1" applyFill="1" applyBorder="1" applyAlignment="1">
      <alignment horizontal="right" vertical="center" wrapText="1" readingOrder="1"/>
    </xf>
    <xf numFmtId="9" fontId="20" fillId="0" borderId="0" xfId="0" applyNumberFormat="1" applyFont="1" applyAlignment="1">
      <alignment horizontal="right" vertical="center" wrapText="1" readingOrder="1"/>
    </xf>
    <xf numFmtId="174" fontId="20" fillId="2" borderId="9" xfId="0" applyNumberFormat="1" applyFont="1" applyFill="1" applyBorder="1" applyAlignment="1">
      <alignment horizontal="right" vertical="center" wrapText="1" readingOrder="1"/>
    </xf>
    <xf numFmtId="166" fontId="20" fillId="2" borderId="9" xfId="1" applyNumberFormat="1" applyFont="1" applyFill="1" applyBorder="1" applyAlignment="1">
      <alignment horizontal="right" vertical="center" wrapText="1" readingOrder="1"/>
    </xf>
    <xf numFmtId="0" fontId="20" fillId="9" borderId="0" xfId="0" applyFont="1" applyFill="1" applyAlignment="1">
      <alignment horizontal="left" vertical="center" readingOrder="1"/>
    </xf>
    <xf numFmtId="168" fontId="0" fillId="9" borderId="0" xfId="0" applyNumberFormat="1" applyFill="1"/>
    <xf numFmtId="168" fontId="0" fillId="10" borderId="0" xfId="0" applyNumberFormat="1" applyFill="1"/>
    <xf numFmtId="0" fontId="10" fillId="10" borderId="0" xfId="0" applyFont="1" applyFill="1"/>
    <xf numFmtId="0" fontId="31" fillId="9" borderId="0" xfId="0" applyFont="1" applyFill="1" applyAlignment="1">
      <alignment horizontal="left" vertical="center" wrapText="1" readingOrder="1"/>
    </xf>
    <xf numFmtId="0" fontId="19" fillId="9" borderId="0" xfId="0" applyFont="1" applyFill="1" applyAlignment="1">
      <alignment horizontal="right" vertical="center" wrapText="1" readingOrder="1"/>
    </xf>
    <xf numFmtId="9" fontId="0" fillId="2" borderId="11" xfId="0" applyNumberFormat="1" applyFill="1" applyBorder="1"/>
    <xf numFmtId="166" fontId="0" fillId="2" borderId="12" xfId="1" applyNumberFormat="1" applyFont="1" applyFill="1" applyBorder="1"/>
    <xf numFmtId="166" fontId="20" fillId="2" borderId="9" xfId="0" applyNumberFormat="1" applyFont="1" applyFill="1" applyBorder="1" applyAlignment="1">
      <alignment horizontal="right" vertical="center" wrapText="1" readingOrder="1"/>
    </xf>
    <xf numFmtId="168" fontId="0" fillId="0" borderId="9" xfId="0" applyNumberFormat="1" applyBorder="1"/>
    <xf numFmtId="168" fontId="0" fillId="0" borderId="9" xfId="1" applyNumberFormat="1" applyFont="1" applyFill="1" applyBorder="1"/>
    <xf numFmtId="168" fontId="0" fillId="0" borderId="16" xfId="0" applyNumberFormat="1" applyBorder="1"/>
    <xf numFmtId="0" fontId="0" fillId="9" borderId="0" xfId="0" applyFill="1" applyAlignment="1">
      <alignment vertical="top" wrapText="1"/>
    </xf>
    <xf numFmtId="167" fontId="20" fillId="2" borderId="9" xfId="2" applyNumberFormat="1" applyFont="1" applyFill="1" applyBorder="1" applyAlignment="1">
      <alignment horizontal="right" vertical="center" wrapText="1" readingOrder="1"/>
    </xf>
    <xf numFmtId="0" fontId="23" fillId="9" borderId="0" xfId="0" applyFont="1" applyFill="1" applyAlignment="1">
      <alignment horizontal="left" vertical="center" readingOrder="1"/>
    </xf>
    <xf numFmtId="0" fontId="12" fillId="9" borderId="0" xfId="0" applyFont="1" applyFill="1" applyAlignment="1">
      <alignment horizontal="center"/>
    </xf>
    <xf numFmtId="1" fontId="0" fillId="9" borderId="0" xfId="1" applyNumberFormat="1" applyFont="1" applyFill="1" applyBorder="1"/>
    <xf numFmtId="166" fontId="0" fillId="9" borderId="16" xfId="1" applyNumberFormat="1" applyFont="1" applyFill="1" applyBorder="1"/>
    <xf numFmtId="167" fontId="0" fillId="2" borderId="16" xfId="2" applyNumberFormat="1" applyFont="1" applyFill="1" applyBorder="1"/>
    <xf numFmtId="167" fontId="0" fillId="2" borderId="9" xfId="2" applyNumberFormat="1" applyFont="1" applyFill="1" applyBorder="1"/>
    <xf numFmtId="0" fontId="10" fillId="0" borderId="9" xfId="0" applyFont="1" applyBorder="1"/>
    <xf numFmtId="0" fontId="9" fillId="0" borderId="9" xfId="0" applyFont="1" applyBorder="1"/>
    <xf numFmtId="1" fontId="0" fillId="9" borderId="9" xfId="0" applyNumberFormat="1" applyFill="1" applyBorder="1"/>
    <xf numFmtId="0" fontId="0" fillId="10" borderId="4" xfId="0" applyFill="1" applyBorder="1"/>
    <xf numFmtId="1" fontId="0" fillId="10" borderId="9" xfId="0" applyNumberFormat="1" applyFill="1" applyBorder="1"/>
    <xf numFmtId="43" fontId="0" fillId="0" borderId="9" xfId="1" applyFont="1" applyFill="1" applyBorder="1"/>
    <xf numFmtId="0" fontId="0" fillId="14" borderId="0" xfId="0" applyFill="1"/>
    <xf numFmtId="0" fontId="0" fillId="14" borderId="0" xfId="0" applyFill="1" applyAlignment="1">
      <alignment vertical="top" wrapText="1"/>
    </xf>
    <xf numFmtId="167" fontId="0" fillId="0" borderId="16" xfId="2" applyNumberFormat="1" applyFont="1" applyFill="1" applyBorder="1" applyAlignment="1">
      <alignment wrapText="1"/>
    </xf>
    <xf numFmtId="0" fontId="4" fillId="10" borderId="16" xfId="0" applyFont="1" applyFill="1" applyBorder="1" applyAlignment="1">
      <alignment horizontal="right"/>
    </xf>
    <xf numFmtId="0" fontId="4" fillId="10" borderId="9" xfId="0" applyFont="1" applyFill="1" applyBorder="1" applyAlignment="1">
      <alignment horizontal="right"/>
    </xf>
    <xf numFmtId="9" fontId="0" fillId="0" borderId="9" xfId="1" applyNumberFormat="1" applyFont="1" applyBorder="1"/>
    <xf numFmtId="10" fontId="0" fillId="0" borderId="9" xfId="0" applyNumberFormat="1" applyBorder="1"/>
    <xf numFmtId="0" fontId="4" fillId="10" borderId="12" xfId="0" applyFont="1" applyFill="1" applyBorder="1" applyAlignment="1">
      <alignment horizontal="center"/>
    </xf>
    <xf numFmtId="0" fontId="0" fillId="10" borderId="9" xfId="0" applyFill="1" applyBorder="1"/>
    <xf numFmtId="0" fontId="10" fillId="10" borderId="9" xfId="0" applyFont="1" applyFill="1" applyBorder="1"/>
    <xf numFmtId="0" fontId="4" fillId="10" borderId="9" xfId="0" applyFont="1" applyFill="1" applyBorder="1" applyAlignment="1">
      <alignment horizontal="center" vertical="center"/>
    </xf>
    <xf numFmtId="166" fontId="0" fillId="9" borderId="12" xfId="0" applyNumberFormat="1" applyFill="1" applyBorder="1"/>
    <xf numFmtId="0" fontId="2" fillId="9" borderId="9" xfId="0" applyFont="1" applyFill="1" applyBorder="1"/>
    <xf numFmtId="0" fontId="0" fillId="9" borderId="4" xfId="0" applyFill="1" applyBorder="1" applyAlignment="1">
      <alignment horizontal="center"/>
    </xf>
    <xf numFmtId="0" fontId="0" fillId="9" borderId="0" xfId="0" applyFill="1" applyAlignment="1">
      <alignment horizontal="center"/>
    </xf>
    <xf numFmtId="10" fontId="0" fillId="0" borderId="9" xfId="2" applyNumberFormat="1" applyFont="1" applyBorder="1"/>
    <xf numFmtId="9" fontId="0" fillId="9" borderId="9" xfId="2" applyFont="1" applyFill="1" applyBorder="1"/>
    <xf numFmtId="9" fontId="0" fillId="9" borderId="9" xfId="0" applyNumberFormat="1" applyFill="1" applyBorder="1"/>
    <xf numFmtId="167" fontId="0" fillId="0" borderId="9" xfId="2" applyNumberFormat="1" applyFont="1" applyFill="1" applyBorder="1"/>
    <xf numFmtId="166" fontId="0" fillId="0" borderId="10" xfId="1" applyNumberFormat="1" applyFont="1" applyBorder="1"/>
    <xf numFmtId="0" fontId="14" fillId="10" borderId="16" xfId="0" applyFont="1" applyFill="1" applyBorder="1" applyAlignment="1">
      <alignment horizontal="center" vertical="center"/>
    </xf>
    <xf numFmtId="0" fontId="4" fillId="10" borderId="16" xfId="0" applyFont="1" applyFill="1" applyBorder="1" applyAlignment="1">
      <alignment horizontal="center" vertical="center"/>
    </xf>
    <xf numFmtId="0" fontId="21" fillId="9" borderId="0" xfId="0" applyFont="1" applyFill="1"/>
    <xf numFmtId="166" fontId="10" fillId="9" borderId="0" xfId="1" applyNumberFormat="1" applyFont="1" applyFill="1"/>
    <xf numFmtId="166" fontId="0" fillId="9" borderId="16" xfId="0" applyNumberFormat="1" applyFill="1" applyBorder="1"/>
    <xf numFmtId="0" fontId="0" fillId="14" borderId="9" xfId="0" applyFill="1" applyBorder="1"/>
    <xf numFmtId="0" fontId="5" fillId="9" borderId="9" xfId="0" applyFont="1" applyFill="1" applyBorder="1"/>
    <xf numFmtId="10" fontId="0" fillId="14" borderId="9" xfId="0" applyNumberFormat="1" applyFill="1" applyBorder="1"/>
    <xf numFmtId="0" fontId="4" fillId="10" borderId="9" xfId="0" applyFont="1" applyFill="1" applyBorder="1" applyAlignment="1">
      <alignment horizontal="center" vertical="center" wrapText="1"/>
    </xf>
    <xf numFmtId="0" fontId="32" fillId="9" borderId="0" xfId="3" applyFont="1" applyFill="1"/>
    <xf numFmtId="43" fontId="0" fillId="9" borderId="9" xfId="1" applyFont="1" applyFill="1" applyBorder="1"/>
    <xf numFmtId="178" fontId="0" fillId="9" borderId="9" xfId="1" applyNumberFormat="1" applyFont="1" applyFill="1" applyBorder="1"/>
    <xf numFmtId="179" fontId="0" fillId="9" borderId="9" xfId="0" applyNumberFormat="1" applyFill="1" applyBorder="1"/>
    <xf numFmtId="178" fontId="0" fillId="9" borderId="9" xfId="0" applyNumberFormat="1" applyFill="1" applyBorder="1"/>
    <xf numFmtId="176" fontId="0" fillId="9" borderId="9" xfId="1" applyNumberFormat="1" applyFont="1" applyFill="1" applyBorder="1"/>
    <xf numFmtId="180" fontId="0" fillId="9" borderId="9" xfId="1" applyNumberFormat="1" applyFont="1" applyFill="1" applyBorder="1"/>
    <xf numFmtId="180" fontId="0" fillId="9" borderId="12" xfId="1" applyNumberFormat="1" applyFont="1" applyFill="1" applyBorder="1"/>
    <xf numFmtId="181" fontId="0" fillId="9" borderId="9" xfId="0" applyNumberFormat="1" applyFill="1" applyBorder="1"/>
    <xf numFmtId="43" fontId="0" fillId="9" borderId="9" xfId="0" applyNumberFormat="1" applyFill="1" applyBorder="1"/>
    <xf numFmtId="166" fontId="0" fillId="10" borderId="0" xfId="1" applyNumberFormat="1" applyFont="1" applyFill="1"/>
    <xf numFmtId="167" fontId="20" fillId="2" borderId="9" xfId="0" applyNumberFormat="1" applyFont="1" applyFill="1" applyBorder="1" applyAlignment="1">
      <alignment horizontal="right" vertical="center" wrapText="1" readingOrder="1"/>
    </xf>
    <xf numFmtId="10" fontId="20" fillId="2" borderId="9" xfId="0" applyNumberFormat="1" applyFont="1" applyFill="1" applyBorder="1" applyAlignment="1">
      <alignment horizontal="right" vertical="center" wrapText="1" readingOrder="1"/>
    </xf>
    <xf numFmtId="0" fontId="14" fillId="10" borderId="16" xfId="0" applyFont="1" applyFill="1" applyBorder="1" applyAlignment="1">
      <alignment horizontal="center"/>
    </xf>
    <xf numFmtId="166" fontId="0" fillId="9" borderId="8" xfId="1" applyNumberFormat="1" applyFont="1" applyFill="1" applyBorder="1"/>
    <xf numFmtId="166" fontId="0" fillId="9" borderId="12" xfId="1" applyNumberFormat="1" applyFont="1" applyFill="1" applyBorder="1"/>
    <xf numFmtId="0" fontId="0" fillId="9" borderId="9" xfId="0" applyFill="1" applyBorder="1" applyAlignment="1">
      <alignment horizontal="center"/>
    </xf>
    <xf numFmtId="0" fontId="0" fillId="9" borderId="16" xfId="0" applyFill="1" applyBorder="1" applyAlignment="1">
      <alignment horizontal="center"/>
    </xf>
    <xf numFmtId="0" fontId="0" fillId="9" borderId="13" xfId="0" applyFill="1" applyBorder="1" applyAlignment="1">
      <alignment horizontal="center"/>
    </xf>
    <xf numFmtId="0" fontId="0" fillId="9" borderId="10" xfId="0" applyFill="1" applyBorder="1" applyAlignment="1">
      <alignment horizontal="center"/>
    </xf>
    <xf numFmtId="0" fontId="6" fillId="9" borderId="4" xfId="3" applyFill="1" applyBorder="1" applyAlignment="1">
      <alignment horizontal="left" wrapText="1"/>
    </xf>
    <xf numFmtId="0" fontId="6" fillId="9" borderId="0" xfId="3" applyFill="1" applyBorder="1" applyAlignment="1">
      <alignment horizontal="left" wrapText="1"/>
    </xf>
    <xf numFmtId="0" fontId="6" fillId="9" borderId="5" xfId="3" applyFill="1" applyBorder="1" applyAlignment="1">
      <alignment horizontal="left"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0" fillId="9" borderId="4" xfId="0" applyFill="1" applyBorder="1" applyAlignment="1">
      <alignment horizontal="left" vertical="center"/>
    </xf>
    <xf numFmtId="2" fontId="5" fillId="3" borderId="9" xfId="0" applyNumberFormat="1" applyFont="1" applyFill="1" applyBorder="1" applyAlignment="1">
      <alignment horizontal="center"/>
    </xf>
    <xf numFmtId="2" fontId="5" fillId="12" borderId="9" xfId="0" applyNumberFormat="1" applyFont="1" applyFill="1" applyBorder="1" applyAlignment="1">
      <alignment horizontal="center"/>
    </xf>
    <xf numFmtId="0" fontId="4" fillId="12" borderId="1" xfId="0" applyFont="1" applyFill="1" applyBorder="1" applyAlignment="1">
      <alignment horizontal="center"/>
    </xf>
    <xf numFmtId="0" fontId="4" fillId="12" borderId="2" xfId="0" applyFont="1" applyFill="1" applyBorder="1" applyAlignment="1">
      <alignment horizontal="center"/>
    </xf>
    <xf numFmtId="0" fontId="4" fillId="12" borderId="3" xfId="0" applyFont="1" applyFill="1" applyBorder="1" applyAlignment="1">
      <alignment horizontal="center"/>
    </xf>
    <xf numFmtId="2" fontId="5" fillId="11" borderId="9" xfId="0" applyNumberFormat="1" applyFont="1" applyFill="1" applyBorder="1" applyAlignment="1">
      <alignment horizontal="center"/>
    </xf>
    <xf numFmtId="0" fontId="4" fillId="11" borderId="1" xfId="0" applyFont="1" applyFill="1" applyBorder="1" applyAlignment="1">
      <alignment horizontal="center"/>
    </xf>
    <xf numFmtId="0" fontId="4" fillId="11" borderId="2" xfId="0" applyFont="1" applyFill="1" applyBorder="1" applyAlignment="1">
      <alignment horizontal="center"/>
    </xf>
    <xf numFmtId="0" fontId="4" fillId="11" borderId="3" xfId="0" applyFont="1" applyFill="1" applyBorder="1" applyAlignment="1">
      <alignment horizontal="center"/>
    </xf>
  </cellXfs>
  <cellStyles count="16">
    <cellStyle name="Column label" xfId="13" xr:uid="{5B5D4623-5245-423D-9593-D11C164266A1}"/>
    <cellStyle name="Comma" xfId="1" builtinId="3"/>
    <cellStyle name="Comma 2" xfId="15" xr:uid="{C93EB31F-55FB-4010-BF21-96B90D598995}"/>
    <cellStyle name="Currency 13" xfId="14" xr:uid="{2B58E04B-CACB-4918-8E60-7B25C4AB36EC}"/>
    <cellStyle name="Currency 8" xfId="7" xr:uid="{9566A33F-956C-4D8B-AE5E-A9B6B1021769}"/>
    <cellStyle name="D" xfId="4" xr:uid="{933906A3-2C20-41C9-8980-42CDF9F213E3}"/>
    <cellStyle name="H2" xfId="12" xr:uid="{D95B1B5E-BB86-451B-96DF-F21544C238A4}"/>
    <cellStyle name="Highlight" xfId="8" xr:uid="{DBF9C6FE-2947-4DF4-9CF8-799342CC1103}"/>
    <cellStyle name="Hyperlink" xfId="3" builtinId="8"/>
    <cellStyle name="Input calculation" xfId="9" xr:uid="{70565FA5-309D-4BC2-A959-133E2479D50D}"/>
    <cellStyle name="Input data" xfId="6" xr:uid="{49363687-6847-48B6-8061-47D11000C5AD}"/>
    <cellStyle name="Input estimate" xfId="10" xr:uid="{10D5D767-247E-4350-B24D-829B2B738935}"/>
    <cellStyle name="Input link" xfId="5" xr:uid="{F031ADD7-9BB8-4993-A74A-2FC3EC9831DB}"/>
    <cellStyle name="Input link (different workbook)" xfId="11" xr:uid="{4C04A368-BEA3-4C34-9572-79C4B78C8941}"/>
    <cellStyle name="Normal" xfId="0" builtinId="0"/>
    <cellStyle name="Percent" xfId="2" builtinId="5"/>
  </cellStyles>
  <dxfs count="1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431800</xdr:colOff>
      <xdr:row>0</xdr:row>
      <xdr:rowOff>84667</xdr:rowOff>
    </xdr:from>
    <xdr:to>
      <xdr:col>0</xdr:col>
      <xdr:colOff>2497455</xdr:colOff>
      <xdr:row>4</xdr:row>
      <xdr:rowOff>932</xdr:rowOff>
    </xdr:to>
    <xdr:pic>
      <xdr:nvPicPr>
        <xdr:cNvPr id="3" name="Picture 2">
          <a:extLst>
            <a:ext uri="{FF2B5EF4-FFF2-40B4-BE49-F238E27FC236}">
              <a16:creationId xmlns:a16="http://schemas.microsoft.com/office/drawing/2014/main" id="{5E4D40FF-CFEA-487E-B75A-7A1E2BC147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 y="84667"/>
          <a:ext cx="2069465" cy="656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638176</xdr:colOff>
      <xdr:row>2</xdr:row>
      <xdr:rowOff>38100</xdr:rowOff>
    </xdr:from>
    <xdr:to>
      <xdr:col>1</xdr:col>
      <xdr:colOff>761548</xdr:colOff>
      <xdr:row>6</xdr:row>
      <xdr:rowOff>181120</xdr:rowOff>
    </xdr:to>
    <xdr:sp macro="" textlink="">
      <xdr:nvSpPr>
        <xdr:cNvPr id="24" name="Rectangle 23">
          <a:extLst>
            <a:ext uri="{FF2B5EF4-FFF2-40B4-BE49-F238E27FC236}">
              <a16:creationId xmlns:a16="http://schemas.microsoft.com/office/drawing/2014/main" id="{D27A50E3-C89C-A6CB-9A2B-670397E1C0B6}"/>
            </a:ext>
          </a:extLst>
        </xdr:cNvPr>
        <xdr:cNvSpPr/>
      </xdr:nvSpPr>
      <xdr:spPr>
        <a:xfrm>
          <a:off x="638176" y="466725"/>
          <a:ext cx="1171122" cy="905020"/>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en-ZA" sz="1000"/>
            <a:t>1 Traffic volumes (fixed voice</a:t>
          </a:r>
          <a:r>
            <a:rPr lang="en-ZA" sz="1000" baseline="0"/>
            <a:t>)</a:t>
          </a:r>
          <a:endParaRPr lang="en-ZA" sz="1000"/>
        </a:p>
      </xdr:txBody>
    </xdr:sp>
    <xdr:clientData/>
  </xdr:twoCellAnchor>
  <xdr:twoCellAnchor>
    <xdr:from>
      <xdr:col>2</xdr:col>
      <xdr:colOff>219074</xdr:colOff>
      <xdr:row>2</xdr:row>
      <xdr:rowOff>34925</xdr:rowOff>
    </xdr:from>
    <xdr:to>
      <xdr:col>3</xdr:col>
      <xdr:colOff>643022</xdr:colOff>
      <xdr:row>6</xdr:row>
      <xdr:rowOff>152400</xdr:rowOff>
    </xdr:to>
    <xdr:sp macro="" textlink="">
      <xdr:nvSpPr>
        <xdr:cNvPr id="26" name="Rectangle 25">
          <a:extLst>
            <a:ext uri="{FF2B5EF4-FFF2-40B4-BE49-F238E27FC236}">
              <a16:creationId xmlns:a16="http://schemas.microsoft.com/office/drawing/2014/main" id="{0A09B715-4CAE-1466-1E0E-6046BCF29077}"/>
            </a:ext>
          </a:extLst>
        </xdr:cNvPr>
        <xdr:cNvSpPr/>
      </xdr:nvSpPr>
      <xdr:spPr>
        <a:xfrm>
          <a:off x="2314574" y="463550"/>
          <a:ext cx="1471698" cy="87947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en-ZA" sz="1000"/>
            <a:t>2 Convert all traffic types to various dimensions needed</a:t>
          </a:r>
          <a:r>
            <a:rPr lang="en-ZA" sz="1000" baseline="0"/>
            <a:t> for network element demand</a:t>
          </a:r>
          <a:r>
            <a:rPr lang="en-ZA" sz="1000"/>
            <a:t> </a:t>
          </a:r>
        </a:p>
      </xdr:txBody>
    </xdr:sp>
    <xdr:clientData/>
  </xdr:twoCellAnchor>
  <xdr:twoCellAnchor>
    <xdr:from>
      <xdr:col>1</xdr:col>
      <xdr:colOff>761548</xdr:colOff>
      <xdr:row>4</xdr:row>
      <xdr:rowOff>93663</xdr:rowOff>
    </xdr:from>
    <xdr:to>
      <xdr:col>2</xdr:col>
      <xdr:colOff>219074</xdr:colOff>
      <xdr:row>4</xdr:row>
      <xdr:rowOff>109610</xdr:rowOff>
    </xdr:to>
    <xdr:cxnSp macro="">
      <xdr:nvCxnSpPr>
        <xdr:cNvPr id="27" name="Straight Arrow Connector 26">
          <a:extLst>
            <a:ext uri="{FF2B5EF4-FFF2-40B4-BE49-F238E27FC236}">
              <a16:creationId xmlns:a16="http://schemas.microsoft.com/office/drawing/2014/main" id="{A9D15B73-F085-497A-3AD4-E5998221B5CF}"/>
            </a:ext>
          </a:extLst>
        </xdr:cNvPr>
        <xdr:cNvCxnSpPr>
          <a:stCxn id="24" idx="3"/>
          <a:endCxn id="26" idx="1"/>
        </xdr:cNvCxnSpPr>
      </xdr:nvCxnSpPr>
      <xdr:spPr>
        <a:xfrm flipV="1">
          <a:off x="1809298" y="903288"/>
          <a:ext cx="505276" cy="1594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238126</xdr:colOff>
      <xdr:row>8</xdr:row>
      <xdr:rowOff>95249</xdr:rowOff>
    </xdr:from>
    <xdr:to>
      <xdr:col>3</xdr:col>
      <xdr:colOff>645860</xdr:colOff>
      <xdr:row>14</xdr:row>
      <xdr:rowOff>0</xdr:rowOff>
    </xdr:to>
    <xdr:sp macro="" textlink="">
      <xdr:nvSpPr>
        <xdr:cNvPr id="28" name="Rectangle 27">
          <a:extLst>
            <a:ext uri="{FF2B5EF4-FFF2-40B4-BE49-F238E27FC236}">
              <a16:creationId xmlns:a16="http://schemas.microsoft.com/office/drawing/2014/main" id="{E946CFE3-5A6A-B75A-44E3-DE89B9FCBF01}"/>
            </a:ext>
          </a:extLst>
        </xdr:cNvPr>
        <xdr:cNvSpPr/>
      </xdr:nvSpPr>
      <xdr:spPr>
        <a:xfrm>
          <a:off x="2333626" y="1666874"/>
          <a:ext cx="1455484" cy="1047751"/>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en-ZA" sz="1000"/>
            <a:t>3 Compute network element demand </a:t>
          </a:r>
        </a:p>
      </xdr:txBody>
    </xdr:sp>
    <xdr:clientData/>
  </xdr:twoCellAnchor>
  <xdr:twoCellAnchor>
    <xdr:from>
      <xdr:col>2</xdr:col>
      <xdr:colOff>954923</xdr:colOff>
      <xdr:row>6</xdr:row>
      <xdr:rowOff>152400</xdr:rowOff>
    </xdr:from>
    <xdr:to>
      <xdr:col>2</xdr:col>
      <xdr:colOff>965868</xdr:colOff>
      <xdr:row>8</xdr:row>
      <xdr:rowOff>95249</xdr:rowOff>
    </xdr:to>
    <xdr:cxnSp macro="">
      <xdr:nvCxnSpPr>
        <xdr:cNvPr id="29" name="Straight Arrow Connector 28">
          <a:extLst>
            <a:ext uri="{FF2B5EF4-FFF2-40B4-BE49-F238E27FC236}">
              <a16:creationId xmlns:a16="http://schemas.microsoft.com/office/drawing/2014/main" id="{361178F6-1154-771A-DD84-0717160AB58A}"/>
            </a:ext>
          </a:extLst>
        </xdr:cNvPr>
        <xdr:cNvCxnSpPr>
          <a:stCxn id="26" idx="2"/>
          <a:endCxn id="28" idx="0"/>
        </xdr:cNvCxnSpPr>
      </xdr:nvCxnSpPr>
      <xdr:spPr>
        <a:xfrm>
          <a:off x="3050423" y="1343025"/>
          <a:ext cx="10945" cy="3238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645860</xdr:colOff>
      <xdr:row>11</xdr:row>
      <xdr:rowOff>47625</xdr:rowOff>
    </xdr:from>
    <xdr:to>
      <xdr:col>4</xdr:col>
      <xdr:colOff>676275</xdr:colOff>
      <xdr:row>11</xdr:row>
      <xdr:rowOff>122020</xdr:rowOff>
    </xdr:to>
    <xdr:cxnSp macro="">
      <xdr:nvCxnSpPr>
        <xdr:cNvPr id="31" name="Straight Arrow Connector 30">
          <a:extLst>
            <a:ext uri="{FF2B5EF4-FFF2-40B4-BE49-F238E27FC236}">
              <a16:creationId xmlns:a16="http://schemas.microsoft.com/office/drawing/2014/main" id="{9586AC1C-F5D6-D56B-3CD3-D2830943FB3D}"/>
            </a:ext>
          </a:extLst>
        </xdr:cNvPr>
        <xdr:cNvCxnSpPr>
          <a:stCxn id="28" idx="3"/>
          <a:endCxn id="32" idx="1"/>
        </xdr:cNvCxnSpPr>
      </xdr:nvCxnSpPr>
      <xdr:spPr>
        <a:xfrm>
          <a:off x="3789110" y="2190750"/>
          <a:ext cx="1078165" cy="743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676275</xdr:colOff>
      <xdr:row>9</xdr:row>
      <xdr:rowOff>101600</xdr:rowOff>
    </xdr:from>
    <xdr:to>
      <xdr:col>5</xdr:col>
      <xdr:colOff>923120</xdr:colOff>
      <xdr:row>13</xdr:row>
      <xdr:rowOff>142440</xdr:rowOff>
    </xdr:to>
    <xdr:sp macro="" textlink="">
      <xdr:nvSpPr>
        <xdr:cNvPr id="32" name="Rectangle 31">
          <a:extLst>
            <a:ext uri="{FF2B5EF4-FFF2-40B4-BE49-F238E27FC236}">
              <a16:creationId xmlns:a16="http://schemas.microsoft.com/office/drawing/2014/main" id="{7222EBC5-93EB-7DC9-5A37-5F981BCDAE39}"/>
            </a:ext>
          </a:extLst>
        </xdr:cNvPr>
        <xdr:cNvSpPr/>
      </xdr:nvSpPr>
      <xdr:spPr>
        <a:xfrm>
          <a:off x="4867275" y="1863725"/>
          <a:ext cx="1294595" cy="802840"/>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en-ZA" sz="1000"/>
            <a:t>4, 5 Obtain capital</a:t>
          </a:r>
          <a:r>
            <a:rPr lang="en-ZA" sz="1000" baseline="0"/>
            <a:t> expenditure and operating costs for network elements</a:t>
          </a:r>
          <a:endParaRPr lang="en-ZA" sz="1000"/>
        </a:p>
      </xdr:txBody>
    </xdr:sp>
    <xdr:clientData/>
  </xdr:twoCellAnchor>
  <xdr:twoCellAnchor>
    <xdr:from>
      <xdr:col>6</xdr:col>
      <xdr:colOff>361951</xdr:colOff>
      <xdr:row>13</xdr:row>
      <xdr:rowOff>6349</xdr:rowOff>
    </xdr:from>
    <xdr:to>
      <xdr:col>7</xdr:col>
      <xdr:colOff>495301</xdr:colOff>
      <xdr:row>17</xdr:row>
      <xdr:rowOff>134772</xdr:rowOff>
    </xdr:to>
    <xdr:sp macro="" textlink="">
      <xdr:nvSpPr>
        <xdr:cNvPr id="40" name="Rectangle 39">
          <a:extLst>
            <a:ext uri="{FF2B5EF4-FFF2-40B4-BE49-F238E27FC236}">
              <a16:creationId xmlns:a16="http://schemas.microsoft.com/office/drawing/2014/main" id="{45634776-04E9-CFA1-4266-A7F12A67118F}"/>
            </a:ext>
          </a:extLst>
        </xdr:cNvPr>
        <xdr:cNvSpPr/>
      </xdr:nvSpPr>
      <xdr:spPr>
        <a:xfrm>
          <a:off x="6648451" y="2530474"/>
          <a:ext cx="1181100" cy="890423"/>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en-ZA" sz="1000"/>
            <a:t>6 Extract costs</a:t>
          </a:r>
          <a:r>
            <a:rPr lang="en-ZA" sz="1000" baseline="0"/>
            <a:t> of network elements used only for incremental voice traffic</a:t>
          </a:r>
          <a:endParaRPr lang="en-ZA" sz="1000"/>
        </a:p>
      </xdr:txBody>
    </xdr:sp>
    <xdr:clientData/>
  </xdr:twoCellAnchor>
  <xdr:twoCellAnchor>
    <xdr:from>
      <xdr:col>5</xdr:col>
      <xdr:colOff>923120</xdr:colOff>
      <xdr:row>11</xdr:row>
      <xdr:rowOff>122020</xdr:rowOff>
    </xdr:from>
    <xdr:to>
      <xdr:col>6</xdr:col>
      <xdr:colOff>361951</xdr:colOff>
      <xdr:row>15</xdr:row>
      <xdr:rowOff>70561</xdr:rowOff>
    </xdr:to>
    <xdr:cxnSp macro="">
      <xdr:nvCxnSpPr>
        <xdr:cNvPr id="41" name="Straight Arrow Connector 40">
          <a:extLst>
            <a:ext uri="{FF2B5EF4-FFF2-40B4-BE49-F238E27FC236}">
              <a16:creationId xmlns:a16="http://schemas.microsoft.com/office/drawing/2014/main" id="{82ACFF68-CDA2-45BA-8C42-CAF19D22414C}"/>
            </a:ext>
          </a:extLst>
        </xdr:cNvPr>
        <xdr:cNvCxnSpPr>
          <a:stCxn id="32" idx="3"/>
          <a:endCxn id="40" idx="1"/>
        </xdr:cNvCxnSpPr>
      </xdr:nvCxnSpPr>
      <xdr:spPr>
        <a:xfrm>
          <a:off x="6161870" y="2265145"/>
          <a:ext cx="486581" cy="7105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638175</xdr:colOff>
      <xdr:row>4</xdr:row>
      <xdr:rowOff>109610</xdr:rowOff>
    </xdr:from>
    <xdr:to>
      <xdr:col>6</xdr:col>
      <xdr:colOff>952500</xdr:colOff>
      <xdr:row>17</xdr:row>
      <xdr:rowOff>134772</xdr:rowOff>
    </xdr:to>
    <xdr:cxnSp macro="">
      <xdr:nvCxnSpPr>
        <xdr:cNvPr id="44" name="Connector: Elbow 43">
          <a:extLst>
            <a:ext uri="{FF2B5EF4-FFF2-40B4-BE49-F238E27FC236}">
              <a16:creationId xmlns:a16="http://schemas.microsoft.com/office/drawing/2014/main" id="{B8E268AA-1A8A-A910-0447-943C91256A72}"/>
            </a:ext>
          </a:extLst>
        </xdr:cNvPr>
        <xdr:cNvCxnSpPr>
          <a:cxnSpLocks/>
          <a:stCxn id="24" idx="1"/>
          <a:endCxn id="40" idx="2"/>
        </xdr:cNvCxnSpPr>
      </xdr:nvCxnSpPr>
      <xdr:spPr>
        <a:xfrm rot="10800000" flipH="1" flipV="1">
          <a:off x="638175" y="919235"/>
          <a:ext cx="6600825" cy="2501662"/>
        </a:xfrm>
        <a:prstGeom prst="bentConnector4">
          <a:avLst>
            <a:gd name="adj1" fmla="val -3463"/>
            <a:gd name="adj2" fmla="val 10913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hyperlink" Target="https://datahub.itu.int/data/?id=2&amp;e=ZAF&amp;i=54" TargetMode="External"/></Relationships>
</file>

<file path=xl/worksheets/_rels/sheet19.xml.rels><?xml version="1.0" encoding="UTF-8" standalone="yes"?>
<Relationships xmlns="http://schemas.openxmlformats.org/package/2006/relationships"><Relationship Id="rId2" Type="http://schemas.openxmlformats.org/officeDocument/2006/relationships/hyperlink" Target="https://orbitax.com/taxhub/corporatetaxrates/ZA/South-Africa" TargetMode="External"/><Relationship Id="rId1" Type="http://schemas.openxmlformats.org/officeDocument/2006/relationships/hyperlink" Target="http://www.worldgovernmentbonds.com/bond-historical-data/south-africa/10-year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resbank,co,za/en/home/what-we-do/statistics/key-statistics/selected-historical-rates" TargetMode="External"/><Relationship Id="rId2" Type="http://schemas.openxmlformats.org/officeDocument/2006/relationships/hyperlink" Target="https://www.statssa.gov.za/publications/P0141/CPIHistory.pdf?" TargetMode="External"/><Relationship Id="rId1" Type="http://schemas.openxmlformats.org/officeDocument/2006/relationships/hyperlink" Target="https://www.resbank.co.za/en/home/what-we-do/statistics/key-statistics/current-market-rates" TargetMode="External"/><Relationship Id="rId4" Type="http://schemas.openxmlformats.org/officeDocument/2006/relationships/hyperlink" Target="https://www.investec.com/content/dam/south-africa/content-hub/annabel-bishop/rand-note/Rand-note-9-Oct-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23F90-B105-4507-91AC-9BDBDE44079E}">
  <sheetPr>
    <tabColor theme="3" tint="0.79998168889431442"/>
  </sheetPr>
  <dimension ref="A6:U32"/>
  <sheetViews>
    <sheetView tabSelected="1" zoomScale="90" zoomScaleNormal="90" workbookViewId="0">
      <selection activeCell="G13" sqref="G13"/>
    </sheetView>
  </sheetViews>
  <sheetFormatPr defaultColWidth="8.5703125" defaultRowHeight="15" x14ac:dyDescent="0.25"/>
  <cols>
    <col min="1" max="1" width="49.5703125" style="13" customWidth="1"/>
    <col min="2" max="2" width="22" style="13" customWidth="1"/>
    <col min="3" max="21" width="15.7109375" style="13" customWidth="1"/>
    <col min="22" max="16384" width="8.5703125" style="13"/>
  </cols>
  <sheetData>
    <row r="6" spans="1:5" ht="18.75" x14ac:dyDescent="0.25">
      <c r="A6" s="127" t="s">
        <v>332</v>
      </c>
      <c r="B6" s="50"/>
      <c r="C6" s="50"/>
    </row>
    <row r="8" spans="1:5" x14ac:dyDescent="0.25">
      <c r="A8" s="13" t="s">
        <v>0</v>
      </c>
      <c r="B8" s="126">
        <v>45268</v>
      </c>
    </row>
    <row r="9" spans="1:5" x14ac:dyDescent="0.25">
      <c r="A9" s="13" t="s">
        <v>1</v>
      </c>
      <c r="B9" s="13">
        <v>4.0999999999999996</v>
      </c>
    </row>
    <row r="10" spans="1:5" x14ac:dyDescent="0.25">
      <c r="A10" s="13" t="s">
        <v>2</v>
      </c>
      <c r="B10" s="13" t="s">
        <v>3</v>
      </c>
    </row>
    <row r="12" spans="1:5" x14ac:dyDescent="0.25">
      <c r="A12" s="49" t="s">
        <v>4</v>
      </c>
      <c r="B12" s="13" t="s">
        <v>5</v>
      </c>
    </row>
    <row r="13" spans="1:5" x14ac:dyDescent="0.25">
      <c r="A13" s="22"/>
    </row>
    <row r="14" spans="1:5" x14ac:dyDescent="0.25">
      <c r="A14" s="49" t="s">
        <v>6</v>
      </c>
      <c r="B14" s="10"/>
      <c r="C14" s="13" t="s">
        <v>7</v>
      </c>
      <c r="D14"/>
      <c r="E14"/>
    </row>
    <row r="15" spans="1:5" x14ac:dyDescent="0.25">
      <c r="B15" s="16" t="s">
        <v>8</v>
      </c>
      <c r="C15" s="13" t="s">
        <v>9</v>
      </c>
    </row>
    <row r="16" spans="1:5" x14ac:dyDescent="0.25">
      <c r="B16" s="81" t="s">
        <v>10</v>
      </c>
      <c r="C16" s="13" t="s">
        <v>11</v>
      </c>
    </row>
    <row r="18" spans="1:21" x14ac:dyDescent="0.25">
      <c r="A18" s="49" t="s">
        <v>12</v>
      </c>
      <c r="B18" s="18" t="s">
        <v>322</v>
      </c>
    </row>
    <row r="19" spans="1:21" hidden="1" x14ac:dyDescent="0.25">
      <c r="A19" s="13" t="e">
        <f>'1 Volumes'!#REF!</f>
        <v>#REF!</v>
      </c>
      <c r="B19" s="41" t="str">
        <f>B18</f>
        <v>High growth scenario</v>
      </c>
    </row>
    <row r="20" spans="1:21" hidden="1" x14ac:dyDescent="0.25">
      <c r="A20" s="13" t="e">
        <f>'1 Volumes'!#REF!</f>
        <v>#REF!</v>
      </c>
      <c r="B20" s="18" t="str">
        <f>B18</f>
        <v>High growth scenario</v>
      </c>
    </row>
    <row r="22" spans="1:21" x14ac:dyDescent="0.25">
      <c r="A22" s="49" t="s">
        <v>326</v>
      </c>
      <c r="B22" s="18" t="s">
        <v>329</v>
      </c>
    </row>
    <row r="24" spans="1:21" x14ac:dyDescent="0.25">
      <c r="A24" s="49" t="s">
        <v>14</v>
      </c>
      <c r="B24" s="8">
        <v>0.9</v>
      </c>
      <c r="C24" s="16" t="s">
        <v>15</v>
      </c>
      <c r="E24"/>
    </row>
    <row r="25" spans="1:21" x14ac:dyDescent="0.25">
      <c r="B25" s="81"/>
    </row>
    <row r="26" spans="1:21" x14ac:dyDescent="0.25">
      <c r="B26" s="16"/>
    </row>
    <row r="27" spans="1:21" x14ac:dyDescent="0.25">
      <c r="B27" s="16"/>
      <c r="F27" s="24"/>
    </row>
    <row r="28" spans="1:21" x14ac:dyDescent="0.25">
      <c r="A28" s="49" t="s">
        <v>16</v>
      </c>
    </row>
    <row r="29" spans="1:21" x14ac:dyDescent="0.25">
      <c r="A29" s="18"/>
      <c r="B29" s="53">
        <v>2018</v>
      </c>
      <c r="C29" s="53">
        <v>2019</v>
      </c>
      <c r="D29" s="53">
        <v>2020</v>
      </c>
      <c r="E29" s="53">
        <v>2021</v>
      </c>
      <c r="F29" s="53">
        <v>2022</v>
      </c>
      <c r="G29" s="53">
        <v>2023</v>
      </c>
      <c r="H29" s="53">
        <v>2024</v>
      </c>
      <c r="I29" s="53">
        <v>2025</v>
      </c>
      <c r="J29" s="53">
        <v>2026</v>
      </c>
      <c r="K29" s="53">
        <v>2027</v>
      </c>
      <c r="L29" s="53">
        <v>2028</v>
      </c>
      <c r="M29" s="53">
        <v>2029</v>
      </c>
      <c r="N29" s="53">
        <v>2030</v>
      </c>
      <c r="O29" s="53">
        <v>2031</v>
      </c>
      <c r="P29" s="53">
        <v>2032</v>
      </c>
      <c r="Q29" s="53">
        <v>2033</v>
      </c>
      <c r="R29" s="53">
        <v>2034</v>
      </c>
      <c r="S29" s="53">
        <v>2035</v>
      </c>
      <c r="T29" s="53">
        <v>2036</v>
      </c>
      <c r="U29" s="53">
        <v>2037</v>
      </c>
    </row>
    <row r="30" spans="1:21" x14ac:dyDescent="0.25">
      <c r="A30" s="225" t="s">
        <v>333</v>
      </c>
      <c r="B30" s="225" cm="1">
        <f t="array" ref="B30:U30">pure_lric</f>
        <v>1.0164277595927926E-2</v>
      </c>
      <c r="C30" s="225">
        <v>1.001897390407956E-2</v>
      </c>
      <c r="D30" s="225">
        <v>9.8720986534591108E-3</v>
      </c>
      <c r="E30" s="225">
        <v>9.7404228220494132E-3</v>
      </c>
      <c r="F30" s="225">
        <v>9.6723302612616614E-3</v>
      </c>
      <c r="G30" s="225">
        <v>9.5999581401009192E-3</v>
      </c>
      <c r="H30" s="225">
        <v>9.5173566557299246E-3</v>
      </c>
      <c r="I30" s="225">
        <v>9.4339400039862298E-3</v>
      </c>
      <c r="J30" s="225">
        <v>9.3616734194553776E-3</v>
      </c>
      <c r="K30" s="225">
        <v>9.300624563418021E-3</v>
      </c>
      <c r="L30" s="225">
        <v>9.2508767853612985E-3</v>
      </c>
      <c r="M30" s="225">
        <v>9.2125294606923321E-3</v>
      </c>
      <c r="N30" s="225">
        <v>9.1856983543747231E-3</v>
      </c>
      <c r="O30" s="225">
        <v>9.170516011342205E-3</v>
      </c>
      <c r="P30" s="225">
        <v>9.1671321745910687E-3</v>
      </c>
      <c r="Q30" s="225">
        <v>9.1757142319024865E-3</v>
      </c>
      <c r="R30" s="225">
        <v>9.1964476921971468E-3</v>
      </c>
      <c r="S30" s="225">
        <v>9.2295366925781042E-3</v>
      </c>
      <c r="T30" s="225">
        <v>9.2752045371733271E-3</v>
      </c>
      <c r="U30" s="225">
        <v>9.3336942689473019E-3</v>
      </c>
    </row>
    <row r="31" spans="1:21" x14ac:dyDescent="0.25">
      <c r="B31" s="77"/>
      <c r="C31" s="77"/>
    </row>
    <row r="32" spans="1:21" x14ac:dyDescent="0.25">
      <c r="B32" s="77"/>
      <c r="C32" s="77"/>
    </row>
  </sheetData>
  <phoneticPr fontId="1" type="noConversion"/>
  <dataValidations count="2">
    <dataValidation type="list" allowBlank="1" showInputMessage="1" showErrorMessage="1" sqref="B18:B20" xr:uid="{12E14B34-24FB-42A6-BF87-D45BAE03149B}">
      <formula1>growth_scenarios</formula1>
    </dataValidation>
    <dataValidation type="list" allowBlank="1" showInputMessage="1" showErrorMessage="1" sqref="B22" xr:uid="{07CADBC5-664A-47E7-8DC0-2C4614F658A1}">
      <formula1>currency_scenario</formula1>
    </dataValidation>
  </dataValidation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3C80-439D-4034-9C1C-7BF5C9DD8463}">
  <sheetPr>
    <tabColor theme="3" tint="0.79998168889431442"/>
  </sheetPr>
  <dimension ref="A1:U1"/>
  <sheetViews>
    <sheetView workbookViewId="0">
      <selection activeCell="I15" sqref="I15"/>
    </sheetView>
  </sheetViews>
  <sheetFormatPr defaultColWidth="15.7109375" defaultRowHeight="15" x14ac:dyDescent="0.25"/>
  <cols>
    <col min="1" max="16384" width="15.7109375" style="13"/>
  </cols>
  <sheetData>
    <row r="1" spans="1:21" ht="18.75" x14ac:dyDescent="0.3">
      <c r="A1" s="90" t="s">
        <v>17</v>
      </c>
      <c r="B1" s="128"/>
      <c r="C1" s="128"/>
      <c r="D1" s="129"/>
      <c r="E1" s="129"/>
      <c r="F1" s="129"/>
      <c r="G1" s="129"/>
      <c r="H1" s="129"/>
      <c r="I1" s="129"/>
      <c r="J1" s="129"/>
      <c r="K1" s="129"/>
      <c r="L1" s="129"/>
      <c r="M1" s="129"/>
      <c r="N1" s="129"/>
      <c r="O1" s="129"/>
      <c r="P1" s="129"/>
      <c r="Q1" s="129"/>
      <c r="R1" s="129"/>
      <c r="S1" s="129"/>
      <c r="T1" s="129"/>
      <c r="U1" s="12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C4A3E-8AA2-4AB5-9F3D-8BACE5465AE8}">
  <dimension ref="A1:W57"/>
  <sheetViews>
    <sheetView zoomScale="85" zoomScaleNormal="85" workbookViewId="0">
      <pane xSplit="1" topLeftCell="B1" activePane="topRight" state="frozen"/>
      <selection activeCell="C36" sqref="C36"/>
      <selection pane="topRight" activeCell="F3" sqref="F3"/>
    </sheetView>
  </sheetViews>
  <sheetFormatPr defaultColWidth="8.5703125" defaultRowHeight="15" x14ac:dyDescent="0.25"/>
  <cols>
    <col min="1" max="1" width="54.42578125" style="13" customWidth="1"/>
    <col min="2" max="21" width="15.7109375" style="13" customWidth="1"/>
    <col min="22" max="24" width="22" style="13" customWidth="1"/>
    <col min="25" max="25" width="18.42578125" style="13" bestFit="1" customWidth="1"/>
    <col min="26" max="27" width="18.42578125" style="13" customWidth="1"/>
    <col min="28" max="28" width="19.5703125" style="13" customWidth="1"/>
    <col min="29" max="29" width="13.5703125" style="13" bestFit="1" customWidth="1"/>
    <col min="30" max="30" width="12.42578125" style="13" customWidth="1"/>
    <col min="31" max="31" width="15.42578125" style="13" bestFit="1" customWidth="1"/>
    <col min="32" max="59" width="11.5703125" style="13" bestFit="1" customWidth="1"/>
    <col min="60" max="80" width="9.42578125" style="13" bestFit="1" customWidth="1"/>
    <col min="81" max="16384" width="8.5703125" style="13"/>
  </cols>
  <sheetData>
    <row r="1" spans="1:23" ht="18.75" x14ac:dyDescent="0.25">
      <c r="A1" s="28" t="s">
        <v>18</v>
      </c>
      <c r="B1" s="29"/>
      <c r="C1" s="29"/>
      <c r="D1" s="12"/>
      <c r="E1" s="12"/>
      <c r="F1" s="12"/>
      <c r="G1" s="12"/>
      <c r="H1" s="12"/>
      <c r="I1" s="12"/>
      <c r="J1" s="12"/>
      <c r="K1" s="12"/>
      <c r="L1" s="12"/>
      <c r="M1" s="12"/>
      <c r="N1" s="12"/>
      <c r="O1" s="12"/>
      <c r="P1" s="12"/>
      <c r="Q1" s="12"/>
      <c r="R1" s="12"/>
      <c r="S1" s="12"/>
      <c r="T1" s="12"/>
      <c r="U1" s="12"/>
    </row>
    <row r="2" spans="1:23" x14ac:dyDescent="0.25">
      <c r="A2" s="12"/>
      <c r="B2" s="12"/>
      <c r="C2" s="12"/>
      <c r="D2" s="12"/>
      <c r="E2" s="12"/>
      <c r="F2" s="12"/>
      <c r="G2" s="12"/>
      <c r="H2" s="12"/>
      <c r="I2" s="12"/>
      <c r="J2" s="12"/>
      <c r="K2" s="12"/>
      <c r="L2" s="12"/>
      <c r="M2" s="12"/>
      <c r="N2" s="12"/>
      <c r="O2" s="12"/>
      <c r="P2" s="12"/>
      <c r="Q2" s="12"/>
      <c r="R2" s="12"/>
      <c r="S2" s="12"/>
      <c r="T2" s="12"/>
      <c r="U2" s="12"/>
      <c r="V2" s="14"/>
      <c r="W2" s="14"/>
    </row>
    <row r="4" spans="1:23" x14ac:dyDescent="0.25">
      <c r="A4" s="25"/>
    </row>
    <row r="5" spans="1:23" x14ac:dyDescent="0.25">
      <c r="A5" s="22" t="str">
        <f>'Volume projections'!A10</f>
        <v>On-net fixed to fixed traffic</v>
      </c>
      <c r="B5" s="24"/>
      <c r="C5" s="24"/>
      <c r="D5" s="24"/>
      <c r="E5" s="24"/>
      <c r="F5" s="24"/>
      <c r="G5" s="24"/>
      <c r="H5" s="24"/>
      <c r="I5" s="24"/>
      <c r="J5" s="24"/>
      <c r="K5" s="24"/>
      <c r="L5" s="24"/>
      <c r="M5" s="24"/>
      <c r="N5" s="24"/>
      <c r="O5" s="24"/>
      <c r="P5" s="24"/>
    </row>
    <row r="7" spans="1:23" x14ac:dyDescent="0.25">
      <c r="A7" s="18"/>
      <c r="B7" s="53">
        <f>'Volume projections'!B12</f>
        <v>2018</v>
      </c>
      <c r="C7" s="53">
        <f>'Volume projections'!C12</f>
        <v>2019</v>
      </c>
      <c r="D7" s="53">
        <f>'Volume projections'!D12</f>
        <v>2020</v>
      </c>
      <c r="E7" s="53">
        <f>'Volume projections'!E12</f>
        <v>2021</v>
      </c>
      <c r="F7" s="53">
        <f>'Volume projections'!F12</f>
        <v>2022</v>
      </c>
      <c r="G7" s="53">
        <f>'Volume projections'!G12</f>
        <v>2023</v>
      </c>
      <c r="H7" s="53">
        <f>'Volume projections'!H12</f>
        <v>2024</v>
      </c>
      <c r="I7" s="53">
        <f>'Volume projections'!I12</f>
        <v>2025</v>
      </c>
      <c r="J7" s="53">
        <f>'Volume projections'!J12</f>
        <v>2026</v>
      </c>
      <c r="K7" s="53">
        <f>'Volume projections'!K12</f>
        <v>2027</v>
      </c>
      <c r="L7" s="53">
        <f>'Volume projections'!L12</f>
        <v>2028</v>
      </c>
      <c r="M7" s="53">
        <f>'Volume projections'!M12</f>
        <v>2029</v>
      </c>
      <c r="N7" s="53">
        <f>'Volume projections'!N12</f>
        <v>2030</v>
      </c>
      <c r="O7" s="53">
        <f>'Volume projections'!O12</f>
        <v>2031</v>
      </c>
      <c r="P7" s="53">
        <f>'Volume projections'!P12</f>
        <v>2032</v>
      </c>
      <c r="Q7" s="53">
        <f>'Volume projections'!Q12</f>
        <v>2033</v>
      </c>
      <c r="R7" s="53">
        <f>'Volume projections'!R12</f>
        <v>2034</v>
      </c>
      <c r="S7" s="53">
        <f>'Volume projections'!S12</f>
        <v>2035</v>
      </c>
      <c r="T7" s="53">
        <f>'Volume projections'!T12</f>
        <v>2036</v>
      </c>
      <c r="U7" s="53">
        <f>'Volume projections'!U12</f>
        <v>2037</v>
      </c>
    </row>
    <row r="8" spans="1:23" x14ac:dyDescent="0.25">
      <c r="A8" s="18" t="str">
        <f>'Volume projections'!A13</f>
        <v>Low growth scenario</v>
      </c>
      <c r="B8" s="27">
        <f>'Volume projections'!B13</f>
        <v>4255420800</v>
      </c>
      <c r="C8" s="27">
        <f>'Volume projections'!C13</f>
        <v>4289535600</v>
      </c>
      <c r="D8" s="27">
        <f>'Volume projections'!D13</f>
        <v>3994524000</v>
      </c>
      <c r="E8" s="27">
        <f>'Volume projections'!E13</f>
        <v>3773164800</v>
      </c>
      <c r="F8" s="27">
        <f>'Volume projections'!F13</f>
        <v>3754298976</v>
      </c>
      <c r="G8" s="27">
        <f>'Volume projections'!G13</f>
        <v>3735527481.1199999</v>
      </c>
      <c r="H8" s="27">
        <f>'Volume projections'!H13</f>
        <v>3716849843.7143998</v>
      </c>
      <c r="I8" s="27">
        <f>'Volume projections'!I13</f>
        <v>3698265594.4958277</v>
      </c>
      <c r="J8" s="27">
        <f>'Volume projections'!J13</f>
        <v>3679774266.5233483</v>
      </c>
      <c r="K8" s="27">
        <f>'Volume projections'!K13</f>
        <v>3661375395.1907315</v>
      </c>
      <c r="L8" s="27">
        <f>'Volume projections'!L13</f>
        <v>3643068518.2147779</v>
      </c>
      <c r="M8" s="27">
        <f>'Volume projections'!M13</f>
        <v>3624853175.623704</v>
      </c>
      <c r="N8" s="27">
        <f>'Volume projections'!N13</f>
        <v>3606728909.7455854</v>
      </c>
      <c r="O8" s="27">
        <f>'Volume projections'!O13</f>
        <v>3588695265.1968575</v>
      </c>
      <c r="P8" s="27">
        <f>'Volume projections'!P13</f>
        <v>3570751788.870873</v>
      </c>
      <c r="Q8" s="27">
        <f>'Volume projections'!Q13</f>
        <v>3552898029.9265184</v>
      </c>
      <c r="R8" s="27">
        <f>'Volume projections'!R13</f>
        <v>3535133539.776886</v>
      </c>
      <c r="S8" s="27">
        <f>'Volume projections'!S13</f>
        <v>3517457872.0780015</v>
      </c>
      <c r="T8" s="27">
        <f>'Volume projections'!T13</f>
        <v>3499870582.7176113</v>
      </c>
      <c r="U8" s="27">
        <f>'Volume projections'!U13</f>
        <v>3482371229.8040233</v>
      </c>
    </row>
    <row r="9" spans="1:23" x14ac:dyDescent="0.25">
      <c r="A9" s="18" t="str">
        <f>'Volume projections'!A14</f>
        <v>Medium growth scenario</v>
      </c>
      <c r="B9" s="27">
        <f>'Volume projections'!B14</f>
        <v>4255420800</v>
      </c>
      <c r="C9" s="27">
        <f>'Volume projections'!C14</f>
        <v>4289535600</v>
      </c>
      <c r="D9" s="27">
        <f>'Volume projections'!D14</f>
        <v>3994524000</v>
      </c>
      <c r="E9" s="27">
        <f>'Volume projections'!E14</f>
        <v>3773164800</v>
      </c>
      <c r="F9" s="27">
        <f>'Volume projections'!F14</f>
        <v>3773164800</v>
      </c>
      <c r="G9" s="27">
        <f>'Volume projections'!G14</f>
        <v>3773164800</v>
      </c>
      <c r="H9" s="27">
        <f>'Volume projections'!H14</f>
        <v>3773164800</v>
      </c>
      <c r="I9" s="27">
        <f>'Volume projections'!I14</f>
        <v>3773164800</v>
      </c>
      <c r="J9" s="27">
        <f>'Volume projections'!J14</f>
        <v>3773164800</v>
      </c>
      <c r="K9" s="27">
        <f>'Volume projections'!K14</f>
        <v>3773164800</v>
      </c>
      <c r="L9" s="27">
        <f>'Volume projections'!L14</f>
        <v>3773164800</v>
      </c>
      <c r="M9" s="27">
        <f>'Volume projections'!M14</f>
        <v>3773164800</v>
      </c>
      <c r="N9" s="27">
        <f>'Volume projections'!N14</f>
        <v>3773164800</v>
      </c>
      <c r="O9" s="27">
        <f>'Volume projections'!O14</f>
        <v>3773164800</v>
      </c>
      <c r="P9" s="27">
        <f>'Volume projections'!P14</f>
        <v>3773164800</v>
      </c>
      <c r="Q9" s="27">
        <f>'Volume projections'!Q14</f>
        <v>3773164800</v>
      </c>
      <c r="R9" s="27">
        <f>'Volume projections'!R14</f>
        <v>3773164800</v>
      </c>
      <c r="S9" s="27">
        <f>'Volume projections'!S14</f>
        <v>3773164800</v>
      </c>
      <c r="T9" s="27">
        <f>'Volume projections'!T14</f>
        <v>3773164800</v>
      </c>
      <c r="U9" s="27">
        <f>'Volume projections'!U14</f>
        <v>3773164800</v>
      </c>
    </row>
    <row r="10" spans="1:23" x14ac:dyDescent="0.25">
      <c r="A10" s="18" t="str">
        <f>'Volume projections'!A15</f>
        <v>High growth scenario</v>
      </c>
      <c r="B10" s="27">
        <f>'Volume projections'!B15</f>
        <v>4255420800</v>
      </c>
      <c r="C10" s="27">
        <f>'Volume projections'!C15</f>
        <v>4289535600</v>
      </c>
      <c r="D10" s="27">
        <f>'Volume projections'!D15</f>
        <v>3994524000</v>
      </c>
      <c r="E10" s="27">
        <f>'Volume projections'!E15</f>
        <v>3773164800</v>
      </c>
      <c r="F10" s="27">
        <f>'Volume projections'!F15</f>
        <v>3792030623.9999995</v>
      </c>
      <c r="G10" s="27">
        <f>'Volume projections'!G15</f>
        <v>3810990777.1199989</v>
      </c>
      <c r="H10" s="27">
        <f>'Volume projections'!H15</f>
        <v>3830045731.0055985</v>
      </c>
      <c r="I10" s="27">
        <f>'Volume projections'!I15</f>
        <v>3849195959.6606259</v>
      </c>
      <c r="J10" s="27">
        <f>'Volume projections'!J15</f>
        <v>3868441939.4589286</v>
      </c>
      <c r="K10" s="27">
        <f>'Volume projections'!K15</f>
        <v>3887784149.1562228</v>
      </c>
      <c r="L10" s="27">
        <f>'Volume projections'!L15</f>
        <v>3907223069.9020033</v>
      </c>
      <c r="M10" s="27">
        <f>'Volume projections'!M15</f>
        <v>3926759185.251513</v>
      </c>
      <c r="N10" s="27">
        <f>'Volume projections'!N15</f>
        <v>3946392981.1777701</v>
      </c>
      <c r="O10" s="27">
        <f>'Volume projections'!O15</f>
        <v>3966124946.0836587</v>
      </c>
      <c r="P10" s="27">
        <f>'Volume projections'!P15</f>
        <v>3985955570.8140764</v>
      </c>
      <c r="Q10" s="27">
        <f>'Volume projections'!Q15</f>
        <v>4005885348.6681466</v>
      </c>
      <c r="R10" s="27">
        <f>'Volume projections'!R15</f>
        <v>4025914775.4114871</v>
      </c>
      <c r="S10" s="27">
        <f>'Volume projections'!S15</f>
        <v>4046044349.2885442</v>
      </c>
      <c r="T10" s="27">
        <f>'Volume projections'!T15</f>
        <v>4066274571.0349865</v>
      </c>
      <c r="U10" s="27">
        <f>'Volume projections'!U15</f>
        <v>4086605943.890161</v>
      </c>
    </row>
    <row r="12" spans="1:23" x14ac:dyDescent="0.25">
      <c r="A12" s="22" t="str">
        <f>'Volume projections'!A17</f>
        <v>Incoming fixed to fixed traffic</v>
      </c>
    </row>
    <row r="14" spans="1:23" x14ac:dyDescent="0.25">
      <c r="A14" s="18"/>
      <c r="B14" s="53">
        <f>'Volume projections'!B19</f>
        <v>2018</v>
      </c>
      <c r="C14" s="53">
        <f>'Volume projections'!C19</f>
        <v>2019</v>
      </c>
      <c r="D14" s="53">
        <f>'Volume projections'!D19</f>
        <v>2020</v>
      </c>
      <c r="E14" s="53">
        <f>'Volume projections'!E19</f>
        <v>2021</v>
      </c>
      <c r="F14" s="53">
        <f>'Volume projections'!F19</f>
        <v>2022</v>
      </c>
      <c r="G14" s="53">
        <f>'Volume projections'!G19</f>
        <v>2023</v>
      </c>
      <c r="H14" s="53">
        <f>'Volume projections'!H19</f>
        <v>2024</v>
      </c>
      <c r="I14" s="53">
        <f>'Volume projections'!I19</f>
        <v>2025</v>
      </c>
      <c r="J14" s="53">
        <f>'Volume projections'!J19</f>
        <v>2026</v>
      </c>
      <c r="K14" s="53">
        <f>'Volume projections'!K19</f>
        <v>2027</v>
      </c>
      <c r="L14" s="53">
        <f>'Volume projections'!L19</f>
        <v>2028</v>
      </c>
      <c r="M14" s="53">
        <f>'Volume projections'!M19</f>
        <v>2029</v>
      </c>
      <c r="N14" s="53">
        <f>'Volume projections'!N19</f>
        <v>2030</v>
      </c>
      <c r="O14" s="53">
        <f>'Volume projections'!O19</f>
        <v>2031</v>
      </c>
      <c r="P14" s="53">
        <f>'Volume projections'!P19</f>
        <v>2032</v>
      </c>
      <c r="Q14" s="53">
        <f>'Volume projections'!Q19</f>
        <v>2033</v>
      </c>
      <c r="R14" s="53">
        <f>'Volume projections'!R19</f>
        <v>2034</v>
      </c>
      <c r="S14" s="53">
        <f>'Volume projections'!S19</f>
        <v>2035</v>
      </c>
      <c r="T14" s="53">
        <f>'Volume projections'!T19</f>
        <v>2036</v>
      </c>
      <c r="U14" s="53">
        <f>'Volume projections'!U19</f>
        <v>2037</v>
      </c>
    </row>
    <row r="15" spans="1:23" x14ac:dyDescent="0.25">
      <c r="A15" s="18" t="str">
        <f>'Volume projections'!A20</f>
        <v>Low growth scenario</v>
      </c>
      <c r="B15" s="27">
        <f>'Volume projections'!B20</f>
        <v>2836947200</v>
      </c>
      <c r="C15" s="27">
        <f>'Volume projections'!C20</f>
        <v>2859690400</v>
      </c>
      <c r="D15" s="27">
        <f>'Volume projections'!D20</f>
        <v>2663016000</v>
      </c>
      <c r="E15" s="27">
        <f>'Volume projections'!E20</f>
        <v>2515443200</v>
      </c>
      <c r="F15" s="27">
        <f>'Volume projections'!F20</f>
        <v>2502865984</v>
      </c>
      <c r="G15" s="27">
        <f>'Volume projections'!G20</f>
        <v>2490351654.0799999</v>
      </c>
      <c r="H15" s="27">
        <f>'Volume projections'!H20</f>
        <v>2477899895.8095999</v>
      </c>
      <c r="I15" s="27">
        <f>'Volume projections'!I20</f>
        <v>2465510396.3305521</v>
      </c>
      <c r="J15" s="27">
        <f>'Volume projections'!J20</f>
        <v>2453182844.3488994</v>
      </c>
      <c r="K15" s="27">
        <f>'Volume projections'!K20</f>
        <v>2440916930.1271548</v>
      </c>
      <c r="L15" s="27">
        <f>'Volume projections'!L20</f>
        <v>2428712345.4765191</v>
      </c>
      <c r="M15" s="27">
        <f>'Volume projections'!M20</f>
        <v>2416568783.7491364</v>
      </c>
      <c r="N15" s="27">
        <f>'Volume projections'!N20</f>
        <v>2404485939.8303909</v>
      </c>
      <c r="O15" s="27">
        <f>'Volume projections'!O20</f>
        <v>2392463510.1312389</v>
      </c>
      <c r="P15" s="27">
        <f>'Volume projections'!P20</f>
        <v>2380501192.5805826</v>
      </c>
      <c r="Q15" s="27">
        <f>'Volume projections'!Q20</f>
        <v>2368598686.6176796</v>
      </c>
      <c r="R15" s="27">
        <f>'Volume projections'!R20</f>
        <v>2356755693.1845913</v>
      </c>
      <c r="S15" s="27">
        <f>'Volume projections'!S20</f>
        <v>2344971914.7186685</v>
      </c>
      <c r="T15" s="27">
        <f>'Volume projections'!T20</f>
        <v>2333247055.1450753</v>
      </c>
      <c r="U15" s="27">
        <f>'Volume projections'!U20</f>
        <v>2321580819.86935</v>
      </c>
    </row>
    <row r="16" spans="1:23" x14ac:dyDescent="0.25">
      <c r="A16" s="18" t="str">
        <f>'Volume projections'!A21</f>
        <v>Medium growth scenario</v>
      </c>
      <c r="B16" s="27">
        <f>'Volume projections'!B21</f>
        <v>2836947200</v>
      </c>
      <c r="C16" s="27">
        <f>'Volume projections'!C21</f>
        <v>2859690400</v>
      </c>
      <c r="D16" s="27">
        <f>'Volume projections'!D21</f>
        <v>2663016000</v>
      </c>
      <c r="E16" s="27">
        <f>'Volume projections'!E21</f>
        <v>2515443200</v>
      </c>
      <c r="F16" s="27">
        <f>'Volume projections'!F21</f>
        <v>2515443200</v>
      </c>
      <c r="G16" s="27">
        <f>'Volume projections'!G21</f>
        <v>2515443200</v>
      </c>
      <c r="H16" s="27">
        <f>'Volume projections'!H21</f>
        <v>2515443200</v>
      </c>
      <c r="I16" s="27">
        <f>'Volume projections'!I21</f>
        <v>2515443200</v>
      </c>
      <c r="J16" s="27">
        <f>'Volume projections'!J21</f>
        <v>2515443200</v>
      </c>
      <c r="K16" s="27">
        <f>'Volume projections'!K21</f>
        <v>2515443200</v>
      </c>
      <c r="L16" s="27">
        <f>'Volume projections'!L21</f>
        <v>2515443200</v>
      </c>
      <c r="M16" s="27">
        <f>'Volume projections'!M21</f>
        <v>2515443200</v>
      </c>
      <c r="N16" s="27">
        <f>'Volume projections'!N21</f>
        <v>2515443200</v>
      </c>
      <c r="O16" s="27">
        <f>'Volume projections'!O21</f>
        <v>2515443200</v>
      </c>
      <c r="P16" s="27">
        <f>'Volume projections'!P21</f>
        <v>2515443200</v>
      </c>
      <c r="Q16" s="27">
        <f>'Volume projections'!Q21</f>
        <v>2515443200</v>
      </c>
      <c r="R16" s="27">
        <f>'Volume projections'!R21</f>
        <v>2515443200</v>
      </c>
      <c r="S16" s="27">
        <f>'Volume projections'!S21</f>
        <v>2515443200</v>
      </c>
      <c r="T16" s="27">
        <f>'Volume projections'!T21</f>
        <v>2515443200</v>
      </c>
      <c r="U16" s="27">
        <f>'Volume projections'!U21</f>
        <v>2515443200</v>
      </c>
    </row>
    <row r="17" spans="1:21" x14ac:dyDescent="0.25">
      <c r="A17" s="18" t="str">
        <f>'Volume projections'!A22</f>
        <v>High growth scenario</v>
      </c>
      <c r="B17" s="27">
        <f>'Volume projections'!B22</f>
        <v>2836947200</v>
      </c>
      <c r="C17" s="27">
        <f>'Volume projections'!C22</f>
        <v>2859690400</v>
      </c>
      <c r="D17" s="27">
        <f>'Volume projections'!D22</f>
        <v>2663016000</v>
      </c>
      <c r="E17" s="27">
        <f>'Volume projections'!E22</f>
        <v>2515443200</v>
      </c>
      <c r="F17" s="27">
        <f>'Volume projections'!F22</f>
        <v>2528020415.9999995</v>
      </c>
      <c r="G17" s="27">
        <f>'Volume projections'!G22</f>
        <v>2540660518.0799994</v>
      </c>
      <c r="H17" s="27">
        <f>'Volume projections'!H22</f>
        <v>2553363820.6703992</v>
      </c>
      <c r="I17" s="27">
        <f>'Volume projections'!I22</f>
        <v>2566130639.7737508</v>
      </c>
      <c r="J17" s="27">
        <f>'Volume projections'!J22</f>
        <v>2578961292.9726191</v>
      </c>
      <c r="K17" s="27">
        <f>'Volume projections'!K22</f>
        <v>2591856099.4374819</v>
      </c>
      <c r="L17" s="27">
        <f>'Volume projections'!L22</f>
        <v>2604815379.934669</v>
      </c>
      <c r="M17" s="27">
        <f>'Volume projections'!M22</f>
        <v>2617839456.834342</v>
      </c>
      <c r="N17" s="27">
        <f>'Volume projections'!N22</f>
        <v>2630928654.1185136</v>
      </c>
      <c r="O17" s="27">
        <f>'Volume projections'!O22</f>
        <v>2644083297.3891058</v>
      </c>
      <c r="P17" s="27">
        <f>'Volume projections'!P22</f>
        <v>2657303713.8760509</v>
      </c>
      <c r="Q17" s="27">
        <f>'Volume projections'!Q22</f>
        <v>2670590232.4454308</v>
      </c>
      <c r="R17" s="27">
        <f>'Volume projections'!R22</f>
        <v>2683943183.6076574</v>
      </c>
      <c r="S17" s="27">
        <f>'Volume projections'!S22</f>
        <v>2697362899.5256953</v>
      </c>
      <c r="T17" s="27">
        <f>'Volume projections'!T22</f>
        <v>2710849714.0233235</v>
      </c>
      <c r="U17" s="27">
        <f>'Volume projections'!U22</f>
        <v>2724403962.5934401</v>
      </c>
    </row>
    <row r="19" spans="1:21" x14ac:dyDescent="0.25">
      <c r="A19" s="22" t="str">
        <f>'Volume projections'!A24</f>
        <v>Off-net fixed to fixed traffic</v>
      </c>
    </row>
    <row r="21" spans="1:21" x14ac:dyDescent="0.25">
      <c r="A21" s="18"/>
      <c r="B21" s="53">
        <f>'Volume projections'!B26</f>
        <v>2018</v>
      </c>
      <c r="C21" s="53">
        <f>'Volume projections'!C26</f>
        <v>2019</v>
      </c>
      <c r="D21" s="53">
        <f>'Volume projections'!D26</f>
        <v>2020</v>
      </c>
      <c r="E21" s="53">
        <f>'Volume projections'!E26</f>
        <v>2021</v>
      </c>
      <c r="F21" s="53">
        <f>'Volume projections'!F26</f>
        <v>2022</v>
      </c>
      <c r="G21" s="53">
        <f>'Volume projections'!G26</f>
        <v>2023</v>
      </c>
      <c r="H21" s="53">
        <f>'Volume projections'!H26</f>
        <v>2024</v>
      </c>
      <c r="I21" s="53">
        <f>'Volume projections'!I26</f>
        <v>2025</v>
      </c>
      <c r="J21" s="53">
        <f>'Volume projections'!J26</f>
        <v>2026</v>
      </c>
      <c r="K21" s="53">
        <f>'Volume projections'!K26</f>
        <v>2027</v>
      </c>
      <c r="L21" s="53">
        <f>'Volume projections'!L26</f>
        <v>2028</v>
      </c>
      <c r="M21" s="53">
        <f>'Volume projections'!M26</f>
        <v>2029</v>
      </c>
      <c r="N21" s="53">
        <f>'Volume projections'!N26</f>
        <v>2030</v>
      </c>
      <c r="O21" s="53">
        <f>'Volume projections'!O26</f>
        <v>2031</v>
      </c>
      <c r="P21" s="53">
        <f>'Volume projections'!P26</f>
        <v>2032</v>
      </c>
      <c r="Q21" s="53">
        <f>'Volume projections'!Q26</f>
        <v>2033</v>
      </c>
      <c r="R21" s="53">
        <f>'Volume projections'!R26</f>
        <v>2034</v>
      </c>
      <c r="S21" s="53">
        <f>'Volume projections'!S26</f>
        <v>2035</v>
      </c>
      <c r="T21" s="53">
        <f>'Volume projections'!T26</f>
        <v>2036</v>
      </c>
      <c r="U21" s="53">
        <f>'Volume projections'!U26</f>
        <v>2037</v>
      </c>
    </row>
    <row r="22" spans="1:21" x14ac:dyDescent="0.25">
      <c r="A22" s="18" t="str">
        <f>'Volume projections'!A27</f>
        <v>Low growth scenario</v>
      </c>
      <c r="B22" s="27">
        <f>'Volume projections'!B27</f>
        <v>2836947200</v>
      </c>
      <c r="C22" s="27">
        <f>'Volume projections'!C27</f>
        <v>2859690400</v>
      </c>
      <c r="D22" s="27">
        <f>'Volume projections'!D27</f>
        <v>2663016000</v>
      </c>
      <c r="E22" s="27">
        <f>'Volume projections'!E27</f>
        <v>2515443200</v>
      </c>
      <c r="F22" s="27">
        <f>'Volume projections'!F27</f>
        <v>2502865984</v>
      </c>
      <c r="G22" s="27">
        <f>'Volume projections'!G27</f>
        <v>2490351654.0799999</v>
      </c>
      <c r="H22" s="27">
        <f>'Volume projections'!H27</f>
        <v>2477899895.8095999</v>
      </c>
      <c r="I22" s="27">
        <f>'Volume projections'!I27</f>
        <v>2465510396.3305521</v>
      </c>
      <c r="J22" s="27">
        <f>'Volume projections'!J27</f>
        <v>2453182844.3488994</v>
      </c>
      <c r="K22" s="27">
        <f>'Volume projections'!K27</f>
        <v>2440916930.1271548</v>
      </c>
      <c r="L22" s="27">
        <f>'Volume projections'!L27</f>
        <v>2428712345.4765191</v>
      </c>
      <c r="M22" s="27">
        <f>'Volume projections'!M27</f>
        <v>2416568783.7491364</v>
      </c>
      <c r="N22" s="27">
        <f>'Volume projections'!N27</f>
        <v>2404485939.8303909</v>
      </c>
      <c r="O22" s="27">
        <f>'Volume projections'!O27</f>
        <v>2392463510.1312389</v>
      </c>
      <c r="P22" s="27">
        <f>'Volume projections'!P27</f>
        <v>2380501192.5805826</v>
      </c>
      <c r="Q22" s="27">
        <f>'Volume projections'!Q27</f>
        <v>2368598686.6176796</v>
      </c>
      <c r="R22" s="27">
        <f>'Volume projections'!R27</f>
        <v>2356755693.1845913</v>
      </c>
      <c r="S22" s="27">
        <f>'Volume projections'!S27</f>
        <v>2344971914.7186685</v>
      </c>
      <c r="T22" s="27">
        <f>'Volume projections'!T27</f>
        <v>2333247055.1450753</v>
      </c>
      <c r="U22" s="27">
        <f>'Volume projections'!U27</f>
        <v>2321580819.86935</v>
      </c>
    </row>
    <row r="23" spans="1:21" x14ac:dyDescent="0.25">
      <c r="A23" s="18" t="str">
        <f>'Volume projections'!A28</f>
        <v>Medium growth scenario</v>
      </c>
      <c r="B23" s="27">
        <f>'Volume projections'!B28</f>
        <v>2836947200</v>
      </c>
      <c r="C23" s="27">
        <f>'Volume projections'!C28</f>
        <v>2859690400</v>
      </c>
      <c r="D23" s="27">
        <f>'Volume projections'!D28</f>
        <v>2663016000</v>
      </c>
      <c r="E23" s="27">
        <f>'Volume projections'!E28</f>
        <v>2515443200</v>
      </c>
      <c r="F23" s="27">
        <f>'Volume projections'!F28</f>
        <v>2515443200</v>
      </c>
      <c r="G23" s="27">
        <f>'Volume projections'!G28</f>
        <v>2515443200</v>
      </c>
      <c r="H23" s="27">
        <f>'Volume projections'!H28</f>
        <v>2515443200</v>
      </c>
      <c r="I23" s="27">
        <f>'Volume projections'!I28</f>
        <v>2515443200</v>
      </c>
      <c r="J23" s="27">
        <f>'Volume projections'!J28</f>
        <v>2515443200</v>
      </c>
      <c r="K23" s="27">
        <f>'Volume projections'!K28</f>
        <v>2515443200</v>
      </c>
      <c r="L23" s="27">
        <f>'Volume projections'!L28</f>
        <v>2515443200</v>
      </c>
      <c r="M23" s="27">
        <f>'Volume projections'!M28</f>
        <v>2515443200</v>
      </c>
      <c r="N23" s="27">
        <f>'Volume projections'!N28</f>
        <v>2515443200</v>
      </c>
      <c r="O23" s="27">
        <f>'Volume projections'!O28</f>
        <v>2515443200</v>
      </c>
      <c r="P23" s="27">
        <f>'Volume projections'!P28</f>
        <v>2515443200</v>
      </c>
      <c r="Q23" s="27">
        <f>'Volume projections'!Q28</f>
        <v>2515443200</v>
      </c>
      <c r="R23" s="27">
        <f>'Volume projections'!R28</f>
        <v>2515443200</v>
      </c>
      <c r="S23" s="27">
        <f>'Volume projections'!S28</f>
        <v>2515443200</v>
      </c>
      <c r="T23" s="27">
        <f>'Volume projections'!T28</f>
        <v>2515443200</v>
      </c>
      <c r="U23" s="27">
        <f>'Volume projections'!U28</f>
        <v>2515443200</v>
      </c>
    </row>
    <row r="24" spans="1:21" x14ac:dyDescent="0.25">
      <c r="A24" s="18" t="str">
        <f>'Volume projections'!A29</f>
        <v>High growth scenario</v>
      </c>
      <c r="B24" s="27">
        <f>'Volume projections'!B29</f>
        <v>2836947200</v>
      </c>
      <c r="C24" s="27">
        <f>'Volume projections'!C29</f>
        <v>2859690400</v>
      </c>
      <c r="D24" s="27">
        <f>'Volume projections'!D29</f>
        <v>2663016000</v>
      </c>
      <c r="E24" s="27">
        <f>'Volume projections'!E29</f>
        <v>2515443200</v>
      </c>
      <c r="F24" s="27">
        <f>'Volume projections'!F29</f>
        <v>2528020415.9999995</v>
      </c>
      <c r="G24" s="27">
        <f>'Volume projections'!G29</f>
        <v>2540660518.0799994</v>
      </c>
      <c r="H24" s="27">
        <f>'Volume projections'!H29</f>
        <v>2553363820.6703992</v>
      </c>
      <c r="I24" s="27">
        <f>'Volume projections'!I29</f>
        <v>2566130639.7737508</v>
      </c>
      <c r="J24" s="27">
        <f>'Volume projections'!J29</f>
        <v>2578961292.9726191</v>
      </c>
      <c r="K24" s="27">
        <f>'Volume projections'!K29</f>
        <v>2591856099.4374819</v>
      </c>
      <c r="L24" s="27">
        <f>'Volume projections'!L29</f>
        <v>2604815379.934669</v>
      </c>
      <c r="M24" s="27">
        <f>'Volume projections'!M29</f>
        <v>2617839456.834342</v>
      </c>
      <c r="N24" s="27">
        <f>'Volume projections'!N29</f>
        <v>2630928654.1185136</v>
      </c>
      <c r="O24" s="27">
        <f>'Volume projections'!O29</f>
        <v>2644083297.3891058</v>
      </c>
      <c r="P24" s="27">
        <f>'Volume projections'!P29</f>
        <v>2657303713.8760509</v>
      </c>
      <c r="Q24" s="27">
        <f>'Volume projections'!Q29</f>
        <v>2670590232.4454308</v>
      </c>
      <c r="R24" s="27">
        <f>'Volume projections'!R29</f>
        <v>2683943183.6076574</v>
      </c>
      <c r="S24" s="27">
        <f>'Volume projections'!S29</f>
        <v>2697362899.5256953</v>
      </c>
      <c r="T24" s="27">
        <f>'Volume projections'!T29</f>
        <v>2710849714.0233235</v>
      </c>
      <c r="U24" s="27">
        <f>'Volume projections'!U29</f>
        <v>2724403962.5934401</v>
      </c>
    </row>
    <row r="26" spans="1:21" x14ac:dyDescent="0.25">
      <c r="A26" s="22" t="str">
        <f>'Volume projections'!A31</f>
        <v>Fixed to Mobile Telephone traffic</v>
      </c>
    </row>
    <row r="28" spans="1:21" x14ac:dyDescent="0.25">
      <c r="A28" s="18"/>
      <c r="B28" s="53">
        <f>'Volume projections'!B33</f>
        <v>2018</v>
      </c>
      <c r="C28" s="53">
        <f>'Volume projections'!C33</f>
        <v>2019</v>
      </c>
      <c r="D28" s="53">
        <f>'Volume projections'!D33</f>
        <v>2020</v>
      </c>
      <c r="E28" s="53">
        <f>'Volume projections'!E33</f>
        <v>2021</v>
      </c>
      <c r="F28" s="53">
        <f>'Volume projections'!F33</f>
        <v>2022</v>
      </c>
      <c r="G28" s="53">
        <f>'Volume projections'!G33</f>
        <v>2023</v>
      </c>
      <c r="H28" s="53">
        <f>'Volume projections'!H33</f>
        <v>2024</v>
      </c>
      <c r="I28" s="53">
        <f>'Volume projections'!I33</f>
        <v>2025</v>
      </c>
      <c r="J28" s="53">
        <f>'Volume projections'!J33</f>
        <v>2026</v>
      </c>
      <c r="K28" s="53">
        <f>'Volume projections'!K33</f>
        <v>2027</v>
      </c>
      <c r="L28" s="53">
        <f>'Volume projections'!L33</f>
        <v>2028</v>
      </c>
      <c r="M28" s="53">
        <f>'Volume projections'!M33</f>
        <v>2029</v>
      </c>
      <c r="N28" s="53">
        <f>'Volume projections'!N33</f>
        <v>2030</v>
      </c>
      <c r="O28" s="53">
        <f>'Volume projections'!O33</f>
        <v>2031</v>
      </c>
      <c r="P28" s="53">
        <f>'Volume projections'!P33</f>
        <v>2032</v>
      </c>
      <c r="Q28" s="53">
        <f>'Volume projections'!Q33</f>
        <v>2033</v>
      </c>
      <c r="R28" s="53">
        <f>'Volume projections'!R33</f>
        <v>2034</v>
      </c>
      <c r="S28" s="53">
        <f>'Volume projections'!S33</f>
        <v>2035</v>
      </c>
      <c r="T28" s="53">
        <f>'Volume projections'!T33</f>
        <v>2036</v>
      </c>
      <c r="U28" s="53">
        <f>'Volume projections'!U33</f>
        <v>2037</v>
      </c>
    </row>
    <row r="29" spans="1:21" x14ac:dyDescent="0.25">
      <c r="A29" s="18" t="str">
        <f>'Volume projections'!A34</f>
        <v>Low growth scenario</v>
      </c>
      <c r="B29" s="27">
        <f>'Volume projections'!B34</f>
        <v>8551483500</v>
      </c>
      <c r="C29" s="27">
        <f>'Volume projections'!C34</f>
        <v>8327647999.999999</v>
      </c>
      <c r="D29" s="27">
        <f>'Volume projections'!D34</f>
        <v>9636810000</v>
      </c>
      <c r="E29" s="27">
        <f>'Volume projections'!E34</f>
        <v>9641760000</v>
      </c>
      <c r="F29" s="27">
        <f>'Volume projections'!F34</f>
        <v>9593551200</v>
      </c>
      <c r="G29" s="27">
        <f>'Volume projections'!G34</f>
        <v>9545583444</v>
      </c>
      <c r="H29" s="27">
        <f>'Volume projections'!H34</f>
        <v>9497855526.7800007</v>
      </c>
      <c r="I29" s="27">
        <f>'Volume projections'!I34</f>
        <v>9450366249.146101</v>
      </c>
      <c r="J29" s="27">
        <f>'Volume projections'!J34</f>
        <v>9403114417.9003696</v>
      </c>
      <c r="K29" s="27">
        <f>'Volume projections'!K34</f>
        <v>9356098845.8108673</v>
      </c>
      <c r="L29" s="27">
        <f>'Volume projections'!L34</f>
        <v>9309318351.5818138</v>
      </c>
      <c r="M29" s="27">
        <f>'Volume projections'!M34</f>
        <v>9262771759.823904</v>
      </c>
      <c r="N29" s="27">
        <f>'Volume projections'!N34</f>
        <v>9216457901.0247841</v>
      </c>
      <c r="O29" s="27">
        <f>'Volume projections'!O34</f>
        <v>9170375611.5196609</v>
      </c>
      <c r="P29" s="27">
        <f>'Volume projections'!P34</f>
        <v>9124523733.4620628</v>
      </c>
      <c r="Q29" s="27">
        <f>'Volume projections'!Q34</f>
        <v>9078901114.7947521</v>
      </c>
      <c r="R29" s="27">
        <f>'Volume projections'!R34</f>
        <v>9033506609.2207775</v>
      </c>
      <c r="S29" s="27">
        <f>'Volume projections'!S34</f>
        <v>8988339076.1746731</v>
      </c>
      <c r="T29" s="27">
        <f>'Volume projections'!T34</f>
        <v>8943397380.7938004</v>
      </c>
      <c r="U29" s="27">
        <f>'Volume projections'!U34</f>
        <v>8898680393.8898315</v>
      </c>
    </row>
    <row r="30" spans="1:21" x14ac:dyDescent="0.25">
      <c r="A30" s="18" t="str">
        <f>'Volume projections'!A35</f>
        <v>Medium growth scenario</v>
      </c>
      <c r="B30" s="27">
        <f>'Volume projections'!B35</f>
        <v>8551483500</v>
      </c>
      <c r="C30" s="27">
        <f>'Volume projections'!C35</f>
        <v>8327647999.999999</v>
      </c>
      <c r="D30" s="27">
        <f>'Volume projections'!D35</f>
        <v>9636810000</v>
      </c>
      <c r="E30" s="27">
        <f>'Volume projections'!E35</f>
        <v>9641760000</v>
      </c>
      <c r="F30" s="27">
        <f>'Volume projections'!F35</f>
        <v>9641760000</v>
      </c>
      <c r="G30" s="27">
        <f>'Volume projections'!G35</f>
        <v>9641760000</v>
      </c>
      <c r="H30" s="27">
        <f>'Volume projections'!H35</f>
        <v>9641760000</v>
      </c>
      <c r="I30" s="27">
        <f>'Volume projections'!I35</f>
        <v>9641760000</v>
      </c>
      <c r="J30" s="27">
        <f>'Volume projections'!J35</f>
        <v>9641760000</v>
      </c>
      <c r="K30" s="27">
        <f>'Volume projections'!K35</f>
        <v>9641760000</v>
      </c>
      <c r="L30" s="27">
        <f>'Volume projections'!L35</f>
        <v>9641760000</v>
      </c>
      <c r="M30" s="27">
        <f>'Volume projections'!M35</f>
        <v>9641760000</v>
      </c>
      <c r="N30" s="27">
        <f>'Volume projections'!N35</f>
        <v>9641760000</v>
      </c>
      <c r="O30" s="27">
        <f>'Volume projections'!O35</f>
        <v>9641760000</v>
      </c>
      <c r="P30" s="27">
        <f>'Volume projections'!P35</f>
        <v>9641760000</v>
      </c>
      <c r="Q30" s="27">
        <f>'Volume projections'!Q35</f>
        <v>9641760000</v>
      </c>
      <c r="R30" s="27">
        <f>'Volume projections'!R35</f>
        <v>9641760000</v>
      </c>
      <c r="S30" s="27">
        <f>'Volume projections'!S35</f>
        <v>9641760000</v>
      </c>
      <c r="T30" s="27">
        <f>'Volume projections'!T35</f>
        <v>9641760000</v>
      </c>
      <c r="U30" s="27">
        <f>'Volume projections'!U35</f>
        <v>9641760000</v>
      </c>
    </row>
    <row r="31" spans="1:21" x14ac:dyDescent="0.25">
      <c r="A31" s="18" t="str">
        <f>'Volume projections'!A36</f>
        <v>High growth scenario</v>
      </c>
      <c r="B31" s="27">
        <f>'Volume projections'!B36</f>
        <v>8551483500</v>
      </c>
      <c r="C31" s="27">
        <f>'Volume projections'!C36</f>
        <v>8327647999.999999</v>
      </c>
      <c r="D31" s="27">
        <f>'Volume projections'!D36</f>
        <v>9636810000</v>
      </c>
      <c r="E31" s="27">
        <f>'Volume projections'!E36</f>
        <v>9641760000</v>
      </c>
      <c r="F31" s="27">
        <f>'Volume projections'!F36</f>
        <v>9689968799.9999981</v>
      </c>
      <c r="G31" s="27">
        <f>'Volume projections'!G36</f>
        <v>9738418643.9999962</v>
      </c>
      <c r="H31" s="27">
        <f>'Volume projections'!H36</f>
        <v>9787110737.2199955</v>
      </c>
      <c r="I31" s="27">
        <f>'Volume projections'!I36</f>
        <v>9836046290.9060936</v>
      </c>
      <c r="J31" s="27">
        <f>'Volume projections'!J36</f>
        <v>9885226522.3606224</v>
      </c>
      <c r="K31" s="27">
        <f>'Volume projections'!K36</f>
        <v>9934652654.9724236</v>
      </c>
      <c r="L31" s="27">
        <f>'Volume projections'!L36</f>
        <v>9984325918.2472839</v>
      </c>
      <c r="M31" s="27">
        <f>'Volume projections'!M36</f>
        <v>10034247547.83852</v>
      </c>
      <c r="N31" s="27">
        <f>'Volume projections'!N36</f>
        <v>10084418785.577711</v>
      </c>
      <c r="O31" s="27">
        <f>'Volume projections'!O36</f>
        <v>10134840879.505598</v>
      </c>
      <c r="P31" s="27">
        <f>'Volume projections'!P36</f>
        <v>10185515083.903126</v>
      </c>
      <c r="Q31" s="27">
        <f>'Volume projections'!Q36</f>
        <v>10236442659.322639</v>
      </c>
      <c r="R31" s="27">
        <f>'Volume projections'!R36</f>
        <v>10287624872.619251</v>
      </c>
      <c r="S31" s="27">
        <f>'Volume projections'!S36</f>
        <v>10339062996.982346</v>
      </c>
      <c r="T31" s="27">
        <f>'Volume projections'!T36</f>
        <v>10390758311.967257</v>
      </c>
      <c r="U31" s="27">
        <f>'Volume projections'!U36</f>
        <v>10442712103.527092</v>
      </c>
    </row>
    <row r="33" spans="1:21" x14ac:dyDescent="0.25">
      <c r="A33" s="22" t="str">
        <f>'Volume projections'!A38</f>
        <v>Outgoing mobile traffic to fixed networks</v>
      </c>
    </row>
    <row r="35" spans="1:21" x14ac:dyDescent="0.25">
      <c r="A35" s="18"/>
      <c r="B35" s="53">
        <f>'Volume projections'!B40</f>
        <v>2018</v>
      </c>
      <c r="C35" s="53">
        <f>'Volume projections'!C40</f>
        <v>2019</v>
      </c>
      <c r="D35" s="53">
        <f>'Volume projections'!D40</f>
        <v>2020</v>
      </c>
      <c r="E35" s="53">
        <f>'Volume projections'!E40</f>
        <v>2021</v>
      </c>
      <c r="F35" s="53">
        <f>'Volume projections'!F40</f>
        <v>2022</v>
      </c>
      <c r="G35" s="53">
        <f>'Volume projections'!G40</f>
        <v>2023</v>
      </c>
      <c r="H35" s="53">
        <f>'Volume projections'!H40</f>
        <v>2024</v>
      </c>
      <c r="I35" s="53">
        <f>'Volume projections'!I40</f>
        <v>2025</v>
      </c>
      <c r="J35" s="53">
        <f>'Volume projections'!J40</f>
        <v>2026</v>
      </c>
      <c r="K35" s="53">
        <f>'Volume projections'!K40</f>
        <v>2027</v>
      </c>
      <c r="L35" s="53">
        <f>'Volume projections'!L40</f>
        <v>2028</v>
      </c>
      <c r="M35" s="53">
        <f>'Volume projections'!M40</f>
        <v>2029</v>
      </c>
      <c r="N35" s="53">
        <f>'Volume projections'!N40</f>
        <v>2030</v>
      </c>
      <c r="O35" s="53">
        <f>'Volume projections'!O40</f>
        <v>2031</v>
      </c>
      <c r="P35" s="53">
        <f>'Volume projections'!P40</f>
        <v>2032</v>
      </c>
      <c r="Q35" s="53">
        <f>'Volume projections'!Q40</f>
        <v>2033</v>
      </c>
      <c r="R35" s="53">
        <f>'Volume projections'!R40</f>
        <v>2034</v>
      </c>
      <c r="S35" s="53">
        <f>'Volume projections'!S40</f>
        <v>2035</v>
      </c>
      <c r="T35" s="53">
        <f>'Volume projections'!T40</f>
        <v>2036</v>
      </c>
      <c r="U35" s="53">
        <f>'Volume projections'!U40</f>
        <v>2037</v>
      </c>
    </row>
    <row r="36" spans="1:21" x14ac:dyDescent="0.25">
      <c r="A36" s="18" t="str">
        <f>'Volume projections'!A41</f>
        <v>Low growth scenario</v>
      </c>
      <c r="B36" s="27">
        <f>'Volume projections'!B41</f>
        <v>2484972000</v>
      </c>
      <c r="C36" s="27">
        <f>'Volume projections'!C41</f>
        <v>3448648000</v>
      </c>
      <c r="D36" s="27">
        <f>'Volume projections'!D41</f>
        <v>4418355000</v>
      </c>
      <c r="E36" s="27">
        <f>'Volume projections'!E41</f>
        <v>4390736000</v>
      </c>
      <c r="F36" s="27">
        <f>'Volume projections'!F41</f>
        <v>4368782320</v>
      </c>
      <c r="G36" s="27">
        <f>'Volume projections'!G41</f>
        <v>4346938408.3999996</v>
      </c>
      <c r="H36" s="27">
        <f>'Volume projections'!H41</f>
        <v>4325203716.3579998</v>
      </c>
      <c r="I36" s="27">
        <f>'Volume projections'!I41</f>
        <v>4303577697.7762098</v>
      </c>
      <c r="J36" s="27">
        <f>'Volume projections'!J41</f>
        <v>4282059809.2873287</v>
      </c>
      <c r="K36" s="27">
        <f>'Volume projections'!K41</f>
        <v>4260649510.2408919</v>
      </c>
      <c r="L36" s="27">
        <f>'Volume projections'!L41</f>
        <v>4239346262.6896873</v>
      </c>
      <c r="M36" s="27">
        <f>'Volume projections'!M41</f>
        <v>4218149531.3762388</v>
      </c>
      <c r="N36" s="27">
        <f>'Volume projections'!N41</f>
        <v>4197058783.7193575</v>
      </c>
      <c r="O36" s="27">
        <f>'Volume projections'!O41</f>
        <v>4176073489.8007607</v>
      </c>
      <c r="P36" s="27">
        <f>'Volume projections'!P41</f>
        <v>4155193122.351757</v>
      </c>
      <c r="Q36" s="27">
        <f>'Volume projections'!Q41</f>
        <v>4134417156.7399983</v>
      </c>
      <c r="R36" s="27">
        <f>'Volume projections'!R41</f>
        <v>4113745070.9562984</v>
      </c>
      <c r="S36" s="27">
        <f>'Volume projections'!S41</f>
        <v>4093176345.6015167</v>
      </c>
      <c r="T36" s="27">
        <f>'Volume projections'!T41</f>
        <v>4072710463.8735089</v>
      </c>
      <c r="U36" s="27">
        <f>'Volume projections'!U41</f>
        <v>4052346911.5541415</v>
      </c>
    </row>
    <row r="37" spans="1:21" x14ac:dyDescent="0.25">
      <c r="A37" s="18" t="str">
        <f>'Volume projections'!A42</f>
        <v>Medium growth scenario</v>
      </c>
      <c r="B37" s="27">
        <f>'Volume projections'!B42</f>
        <v>2484972000</v>
      </c>
      <c r="C37" s="27">
        <f>'Volume projections'!C42</f>
        <v>3448648000</v>
      </c>
      <c r="D37" s="27">
        <f>'Volume projections'!D42</f>
        <v>4418355000</v>
      </c>
      <c r="E37" s="27">
        <f>'Volume projections'!E42</f>
        <v>4390736000</v>
      </c>
      <c r="F37" s="27">
        <f>'Volume projections'!F42</f>
        <v>4390736000</v>
      </c>
      <c r="G37" s="27">
        <f>'Volume projections'!G42</f>
        <v>4390736000</v>
      </c>
      <c r="H37" s="27">
        <f>'Volume projections'!H42</f>
        <v>4390736000</v>
      </c>
      <c r="I37" s="27">
        <f>'Volume projections'!I42</f>
        <v>4390736000</v>
      </c>
      <c r="J37" s="27">
        <f>'Volume projections'!J42</f>
        <v>4390736000</v>
      </c>
      <c r="K37" s="27">
        <f>'Volume projections'!K42</f>
        <v>4390736000</v>
      </c>
      <c r="L37" s="27">
        <f>'Volume projections'!L42</f>
        <v>4390736000</v>
      </c>
      <c r="M37" s="27">
        <f>'Volume projections'!M42</f>
        <v>4390736000</v>
      </c>
      <c r="N37" s="27">
        <f>'Volume projections'!N42</f>
        <v>4390736000</v>
      </c>
      <c r="O37" s="27">
        <f>'Volume projections'!O42</f>
        <v>4390736000</v>
      </c>
      <c r="P37" s="27">
        <f>'Volume projections'!P42</f>
        <v>4390736000</v>
      </c>
      <c r="Q37" s="27">
        <f>'Volume projections'!Q42</f>
        <v>4390736000</v>
      </c>
      <c r="R37" s="27">
        <f>'Volume projections'!R42</f>
        <v>4390736000</v>
      </c>
      <c r="S37" s="27">
        <f>'Volume projections'!S42</f>
        <v>4390736000</v>
      </c>
      <c r="T37" s="27">
        <f>'Volume projections'!T42</f>
        <v>4390736000</v>
      </c>
      <c r="U37" s="27">
        <f>'Volume projections'!U42</f>
        <v>4390736000</v>
      </c>
    </row>
    <row r="38" spans="1:21" x14ac:dyDescent="0.25">
      <c r="A38" s="18" t="str">
        <f>'Volume projections'!A43</f>
        <v>High growth scenario</v>
      </c>
      <c r="B38" s="27">
        <f>'Volume projections'!B43</f>
        <v>2484972000</v>
      </c>
      <c r="C38" s="27">
        <f>'Volume projections'!C43</f>
        <v>3448648000</v>
      </c>
      <c r="D38" s="27">
        <f>'Volume projections'!D43</f>
        <v>4418355000</v>
      </c>
      <c r="E38" s="27">
        <f>'Volume projections'!E43</f>
        <v>4390736000</v>
      </c>
      <c r="F38" s="27">
        <f>'Volume projections'!F43</f>
        <v>4412689680</v>
      </c>
      <c r="G38" s="27">
        <f>'Volume projections'!G43</f>
        <v>4434753128.3999996</v>
      </c>
      <c r="H38" s="27">
        <f>'Volume projections'!H43</f>
        <v>4456926894.0419989</v>
      </c>
      <c r="I38" s="27">
        <f>'Volume projections'!I43</f>
        <v>4479211528.512208</v>
      </c>
      <c r="J38" s="27">
        <f>'Volume projections'!J43</f>
        <v>4501607586.1547689</v>
      </c>
      <c r="K38" s="27">
        <f>'Volume projections'!K43</f>
        <v>4524115624.0855427</v>
      </c>
      <c r="L38" s="27">
        <f>'Volume projections'!L43</f>
        <v>4546736202.2059698</v>
      </c>
      <c r="M38" s="27">
        <f>'Volume projections'!M43</f>
        <v>4569469883.2169991</v>
      </c>
      <c r="N38" s="27">
        <f>'Volume projections'!N43</f>
        <v>4592317232.6330833</v>
      </c>
      <c r="O38" s="27">
        <f>'Volume projections'!O43</f>
        <v>4615278818.7962484</v>
      </c>
      <c r="P38" s="27">
        <f>'Volume projections'!P43</f>
        <v>4638355212.8902292</v>
      </c>
      <c r="Q38" s="27">
        <f>'Volume projections'!Q43</f>
        <v>4661546988.9546795</v>
      </c>
      <c r="R38" s="27">
        <f>'Volume projections'!R43</f>
        <v>4684854723.8994522</v>
      </c>
      <c r="S38" s="27">
        <f>'Volume projections'!S43</f>
        <v>4708278997.5189486</v>
      </c>
      <c r="T38" s="27">
        <f>'Volume projections'!T43</f>
        <v>4731820392.5065432</v>
      </c>
      <c r="U38" s="27">
        <f>'Volume projections'!U43</f>
        <v>4755479494.4690752</v>
      </c>
    </row>
    <row r="40" spans="1:21" x14ac:dyDescent="0.25">
      <c r="A40" s="22" t="str">
        <f>'Volume projections'!A45</f>
        <v xml:space="preserve">International incoming fixed telephone traffic </v>
      </c>
    </row>
    <row r="41" spans="1:21" x14ac:dyDescent="0.25">
      <c r="A41" s="18"/>
      <c r="B41" s="53">
        <f>'Volume projections'!B47</f>
        <v>2018</v>
      </c>
      <c r="C41" s="53">
        <f>'Volume projections'!C47</f>
        <v>2019</v>
      </c>
      <c r="D41" s="53">
        <f>'Volume projections'!D47</f>
        <v>2020</v>
      </c>
      <c r="E41" s="53">
        <f>'Volume projections'!E47</f>
        <v>2021</v>
      </c>
      <c r="F41" s="53">
        <f>'Volume projections'!F47</f>
        <v>2022</v>
      </c>
      <c r="G41" s="53">
        <f>'Volume projections'!G47</f>
        <v>2023</v>
      </c>
      <c r="H41" s="53">
        <f>'Volume projections'!H47</f>
        <v>2024</v>
      </c>
      <c r="I41" s="53">
        <f>'Volume projections'!I47</f>
        <v>2025</v>
      </c>
      <c r="J41" s="53">
        <f>'Volume projections'!J47</f>
        <v>2026</v>
      </c>
      <c r="K41" s="53">
        <f>'Volume projections'!K47</f>
        <v>2027</v>
      </c>
      <c r="L41" s="53">
        <f>'Volume projections'!L47</f>
        <v>2028</v>
      </c>
      <c r="M41" s="53">
        <f>'Volume projections'!M47</f>
        <v>2029</v>
      </c>
      <c r="N41" s="53">
        <f>'Volume projections'!N47</f>
        <v>2030</v>
      </c>
      <c r="O41" s="53">
        <f>'Volume projections'!O47</f>
        <v>2031</v>
      </c>
      <c r="P41" s="53">
        <f>'Volume projections'!P47</f>
        <v>2032</v>
      </c>
      <c r="Q41" s="53">
        <f>'Volume projections'!Q47</f>
        <v>2033</v>
      </c>
      <c r="R41" s="53">
        <f>'Volume projections'!R47</f>
        <v>2034</v>
      </c>
      <c r="S41" s="53">
        <f>'Volume projections'!S47</f>
        <v>2035</v>
      </c>
      <c r="T41" s="53">
        <f>'Volume projections'!T47</f>
        <v>2036</v>
      </c>
      <c r="U41" s="53">
        <f>'Volume projections'!U47</f>
        <v>2037</v>
      </c>
    </row>
    <row r="42" spans="1:21" x14ac:dyDescent="0.25">
      <c r="A42" s="18" t="str">
        <f>'Volume projections'!A48</f>
        <v>Low growth scenario</v>
      </c>
      <c r="B42" s="27">
        <f>'Volume projections'!B48</f>
        <v>378786450</v>
      </c>
      <c r="C42" s="27">
        <f>'Volume projections'!C48</f>
        <v>221337200</v>
      </c>
      <c r="D42" s="27">
        <f>'Volume projections'!D48</f>
        <v>154762500</v>
      </c>
      <c r="E42" s="27">
        <f>'Volume projections'!E48</f>
        <v>72205760</v>
      </c>
      <c r="F42" s="27">
        <f>'Volume projections'!F48</f>
        <v>71844731.200000003</v>
      </c>
      <c r="G42" s="27">
        <f>'Volume projections'!G48</f>
        <v>71485507.544</v>
      </c>
      <c r="H42" s="27">
        <f>'Volume projections'!H48</f>
        <v>71128080.006280005</v>
      </c>
      <c r="I42" s="27">
        <f>'Volume projections'!I48</f>
        <v>70772439.606248602</v>
      </c>
      <c r="J42" s="27">
        <f>'Volume projections'!J48</f>
        <v>70418577.408217356</v>
      </c>
      <c r="K42" s="27">
        <f>'Volume projections'!K48</f>
        <v>70066484.521176264</v>
      </c>
      <c r="L42" s="27">
        <f>'Volume projections'!L48</f>
        <v>69716152.098570377</v>
      </c>
      <c r="M42" s="27">
        <f>'Volume projections'!M48</f>
        <v>69367571.33807753</v>
      </c>
      <c r="N42" s="27">
        <f>'Volume projections'!N48</f>
        <v>69020733.481387138</v>
      </c>
      <c r="O42" s="27">
        <f>'Volume projections'!O48</f>
        <v>68675629.813980207</v>
      </c>
      <c r="P42" s="27">
        <f>'Volume projections'!P48</f>
        <v>68332251.664910302</v>
      </c>
      <c r="Q42" s="27">
        <f>'Volume projections'!Q48</f>
        <v>67990590.406585753</v>
      </c>
      <c r="R42" s="27">
        <f>'Volume projections'!R48</f>
        <v>67650637.454552829</v>
      </c>
      <c r="S42" s="27">
        <f>'Volume projections'!S48</f>
        <v>67312384.267280072</v>
      </c>
      <c r="T42" s="27">
        <f>'Volume projections'!T48</f>
        <v>66975822.345943674</v>
      </c>
      <c r="U42" s="27">
        <f>'Volume projections'!U48</f>
        <v>66640943.234213956</v>
      </c>
    </row>
    <row r="43" spans="1:21" x14ac:dyDescent="0.25">
      <c r="A43" s="18" t="str">
        <f>'Volume projections'!A49</f>
        <v>Medium growth scenario</v>
      </c>
      <c r="B43" s="27">
        <f>'Volume projections'!B49</f>
        <v>378786450</v>
      </c>
      <c r="C43" s="27">
        <f>'Volume projections'!C49</f>
        <v>221337200</v>
      </c>
      <c r="D43" s="27">
        <f>'Volume projections'!D49</f>
        <v>154762500</v>
      </c>
      <c r="E43" s="27">
        <f>'Volume projections'!E49</f>
        <v>72205760</v>
      </c>
      <c r="F43" s="27">
        <f>'Volume projections'!F49</f>
        <v>72205760</v>
      </c>
      <c r="G43" s="27">
        <f>'Volume projections'!G49</f>
        <v>72205760</v>
      </c>
      <c r="H43" s="27">
        <f>'Volume projections'!H49</f>
        <v>72205760</v>
      </c>
      <c r="I43" s="27">
        <f>'Volume projections'!I49</f>
        <v>72205760</v>
      </c>
      <c r="J43" s="27">
        <f>'Volume projections'!J49</f>
        <v>72205760</v>
      </c>
      <c r="K43" s="27">
        <f>'Volume projections'!K49</f>
        <v>72205760</v>
      </c>
      <c r="L43" s="27">
        <f>'Volume projections'!L49</f>
        <v>72205760</v>
      </c>
      <c r="M43" s="27">
        <f>'Volume projections'!M49</f>
        <v>72205760</v>
      </c>
      <c r="N43" s="27">
        <f>'Volume projections'!N49</f>
        <v>72205760</v>
      </c>
      <c r="O43" s="27">
        <f>'Volume projections'!O49</f>
        <v>72205760</v>
      </c>
      <c r="P43" s="27">
        <f>'Volume projections'!P49</f>
        <v>72205760</v>
      </c>
      <c r="Q43" s="27">
        <f>'Volume projections'!Q49</f>
        <v>72205760</v>
      </c>
      <c r="R43" s="27">
        <f>'Volume projections'!R49</f>
        <v>72205760</v>
      </c>
      <c r="S43" s="27">
        <f>'Volume projections'!S49</f>
        <v>72205760</v>
      </c>
      <c r="T43" s="27">
        <f>'Volume projections'!T49</f>
        <v>72205760</v>
      </c>
      <c r="U43" s="27">
        <f>'Volume projections'!U49</f>
        <v>72205760</v>
      </c>
    </row>
    <row r="44" spans="1:21" x14ac:dyDescent="0.25">
      <c r="A44" s="18" t="str">
        <f>'Volume projections'!A50</f>
        <v>High growth scenario</v>
      </c>
      <c r="B44" s="27">
        <f>'Volume projections'!B50</f>
        <v>378786450</v>
      </c>
      <c r="C44" s="27">
        <f>'Volume projections'!C50</f>
        <v>221337200</v>
      </c>
      <c r="D44" s="27">
        <f>'Volume projections'!D50</f>
        <v>154762500</v>
      </c>
      <c r="E44" s="27">
        <f>'Volume projections'!E50</f>
        <v>72205760</v>
      </c>
      <c r="F44" s="27">
        <f>'Volume projections'!F50</f>
        <v>72566788.799999997</v>
      </c>
      <c r="G44" s="27">
        <f>'Volume projections'!G50</f>
        <v>72929622.743999988</v>
      </c>
      <c r="H44" s="27">
        <f>'Volume projections'!H50</f>
        <v>73294270.857719973</v>
      </c>
      <c r="I44" s="27">
        <f>'Volume projections'!I50</f>
        <v>73660742.212008566</v>
      </c>
      <c r="J44" s="27">
        <f>'Volume projections'!J50</f>
        <v>74029045.923068598</v>
      </c>
      <c r="K44" s="27">
        <f>'Volume projections'!K50</f>
        <v>74399191.152683929</v>
      </c>
      <c r="L44" s="27">
        <f>'Volume projections'!L50</f>
        <v>74771187.108447343</v>
      </c>
      <c r="M44" s="27">
        <f>'Volume projections'!M50</f>
        <v>75145043.043989569</v>
      </c>
      <c r="N44" s="27">
        <f>'Volume projections'!N50</f>
        <v>75520768.259209514</v>
      </c>
      <c r="O44" s="27">
        <f>'Volume projections'!O50</f>
        <v>75898372.100505561</v>
      </c>
      <c r="P44" s="27">
        <f>'Volume projections'!P50</f>
        <v>76277863.961008087</v>
      </c>
      <c r="Q44" s="27">
        <f>'Volume projections'!Q50</f>
        <v>76659253.280813113</v>
      </c>
      <c r="R44" s="27">
        <f>'Volume projections'!R50</f>
        <v>77042549.547217175</v>
      </c>
      <c r="S44" s="27">
        <f>'Volume projections'!S50</f>
        <v>77427762.294953257</v>
      </c>
      <c r="T44" s="27">
        <f>'Volume projections'!T50</f>
        <v>77814901.106428012</v>
      </c>
      <c r="U44" s="27">
        <f>'Volume projections'!U50</f>
        <v>78203975.611960143</v>
      </c>
    </row>
    <row r="46" spans="1:21" x14ac:dyDescent="0.25">
      <c r="A46" s="22" t="str">
        <f>'Volume projections'!A52</f>
        <v>International outgoing fixed telephone traffic</v>
      </c>
    </row>
    <row r="47" spans="1:21" x14ac:dyDescent="0.25">
      <c r="A47" s="18"/>
      <c r="B47" s="30">
        <f>'Volume projections'!B54</f>
        <v>2018</v>
      </c>
      <c r="C47" s="30">
        <f>'Volume projections'!C54</f>
        <v>2019</v>
      </c>
      <c r="D47" s="30">
        <f>'Volume projections'!D54</f>
        <v>2020</v>
      </c>
      <c r="E47" s="30">
        <f>'Volume projections'!E54</f>
        <v>2021</v>
      </c>
      <c r="F47" s="30">
        <f>'Volume projections'!F54</f>
        <v>2022</v>
      </c>
      <c r="G47" s="30">
        <f>'Volume projections'!G54</f>
        <v>2023</v>
      </c>
      <c r="H47" s="30">
        <f>'Volume projections'!H54</f>
        <v>2024</v>
      </c>
      <c r="I47" s="30">
        <f>'Volume projections'!I54</f>
        <v>2025</v>
      </c>
      <c r="J47" s="30">
        <f>'Volume projections'!J54</f>
        <v>2026</v>
      </c>
      <c r="K47" s="30">
        <f>'Volume projections'!K54</f>
        <v>2027</v>
      </c>
      <c r="L47" s="30">
        <f>'Volume projections'!L54</f>
        <v>2028</v>
      </c>
      <c r="M47" s="30">
        <f>'Volume projections'!M54</f>
        <v>2029</v>
      </c>
      <c r="N47" s="30">
        <f>'Volume projections'!N54</f>
        <v>2030</v>
      </c>
      <c r="O47" s="30">
        <f>'Volume projections'!O54</f>
        <v>2031</v>
      </c>
      <c r="P47" s="30">
        <f>'Volume projections'!P54</f>
        <v>2032</v>
      </c>
      <c r="Q47" s="30">
        <f>'Volume projections'!Q54</f>
        <v>2033</v>
      </c>
      <c r="R47" s="30">
        <f>'Volume projections'!R54</f>
        <v>2034</v>
      </c>
      <c r="S47" s="30">
        <f>'Volume projections'!S54</f>
        <v>2035</v>
      </c>
      <c r="T47" s="30">
        <f>'Volume projections'!T54</f>
        <v>2036</v>
      </c>
      <c r="U47" s="30">
        <f>'Volume projections'!U54</f>
        <v>2037</v>
      </c>
    </row>
    <row r="48" spans="1:21" x14ac:dyDescent="0.25">
      <c r="A48" s="18" t="str">
        <f>'Volume projections'!A55</f>
        <v>Low growth scenario</v>
      </c>
      <c r="B48" s="27">
        <f>'Volume projections'!B55</f>
        <v>374236800</v>
      </c>
      <c r="C48" s="27">
        <f>'Volume projections'!C55</f>
        <v>111742120</v>
      </c>
      <c r="D48" s="27">
        <f>'Volume projections'!D55</f>
        <v>122423250</v>
      </c>
      <c r="E48" s="27">
        <f>'Volume projections'!E55</f>
        <v>103893760</v>
      </c>
      <c r="F48" s="27">
        <f>'Volume projections'!F55</f>
        <v>103374291.2</v>
      </c>
      <c r="G48" s="27">
        <f>'Volume projections'!G55</f>
        <v>102857419.744</v>
      </c>
      <c r="H48" s="27">
        <f>'Volume projections'!H55</f>
        <v>102343132.64528</v>
      </c>
      <c r="I48" s="27">
        <f>'Volume projections'!I55</f>
        <v>101831416.98205361</v>
      </c>
      <c r="J48" s="27">
        <f>'Volume projections'!J55</f>
        <v>101322259.89714333</v>
      </c>
      <c r="K48" s="27">
        <f>'Volume projections'!K55</f>
        <v>100815648.59765762</v>
      </c>
      <c r="L48" s="27">
        <f>'Volume projections'!L55</f>
        <v>100311570.35466933</v>
      </c>
      <c r="M48" s="27">
        <f>'Volume projections'!M55</f>
        <v>99810012.502895981</v>
      </c>
      <c r="N48" s="27">
        <f>'Volume projections'!N55</f>
        <v>99310962.440381497</v>
      </c>
      <c r="O48" s="27">
        <f>'Volume projections'!O55</f>
        <v>98814407.628179595</v>
      </c>
      <c r="P48" s="27">
        <f>'Volume projections'!P55</f>
        <v>98320335.590038702</v>
      </c>
      <c r="Q48" s="27">
        <f>'Volume projections'!Q55</f>
        <v>97828733.912088513</v>
      </c>
      <c r="R48" s="27">
        <f>'Volume projections'!R55</f>
        <v>97339590.242528066</v>
      </c>
      <c r="S48" s="27">
        <f>'Volume projections'!S55</f>
        <v>96852892.291315421</v>
      </c>
      <c r="T48" s="27">
        <f>'Volume projections'!T55</f>
        <v>96368627.82985884</v>
      </c>
      <c r="U48" s="27">
        <f>'Volume projections'!U55</f>
        <v>95886784.690709546</v>
      </c>
    </row>
    <row r="49" spans="1:21" x14ac:dyDescent="0.25">
      <c r="A49" s="18" t="str">
        <f>'Volume projections'!A56</f>
        <v>Medium growth scenario</v>
      </c>
      <c r="B49" s="27">
        <f>'Volume projections'!B56</f>
        <v>374236800</v>
      </c>
      <c r="C49" s="27">
        <f>'Volume projections'!C56</f>
        <v>111742120</v>
      </c>
      <c r="D49" s="27">
        <f>'Volume projections'!D56</f>
        <v>122423250</v>
      </c>
      <c r="E49" s="27">
        <f>'Volume projections'!E56</f>
        <v>103893760</v>
      </c>
      <c r="F49" s="27">
        <f>'Volume projections'!F56</f>
        <v>103893760</v>
      </c>
      <c r="G49" s="27">
        <f>'Volume projections'!G56</f>
        <v>103893760</v>
      </c>
      <c r="H49" s="27">
        <f>'Volume projections'!H56</f>
        <v>103893760</v>
      </c>
      <c r="I49" s="27">
        <f>'Volume projections'!I56</f>
        <v>103893760</v>
      </c>
      <c r="J49" s="27">
        <f>'Volume projections'!J56</f>
        <v>103893760</v>
      </c>
      <c r="K49" s="27">
        <f>'Volume projections'!K56</f>
        <v>103893760</v>
      </c>
      <c r="L49" s="27">
        <f>'Volume projections'!L56</f>
        <v>103893760</v>
      </c>
      <c r="M49" s="27">
        <f>'Volume projections'!M56</f>
        <v>103893760</v>
      </c>
      <c r="N49" s="27">
        <f>'Volume projections'!N56</f>
        <v>103893760</v>
      </c>
      <c r="O49" s="27">
        <f>'Volume projections'!O56</f>
        <v>103893760</v>
      </c>
      <c r="P49" s="27">
        <f>'Volume projections'!P56</f>
        <v>103893760</v>
      </c>
      <c r="Q49" s="27">
        <f>'Volume projections'!Q56</f>
        <v>103893760</v>
      </c>
      <c r="R49" s="27">
        <f>'Volume projections'!R56</f>
        <v>103893760</v>
      </c>
      <c r="S49" s="27">
        <f>'Volume projections'!S56</f>
        <v>103893760</v>
      </c>
      <c r="T49" s="27">
        <f>'Volume projections'!T56</f>
        <v>103893760</v>
      </c>
      <c r="U49" s="27">
        <f>'Volume projections'!U56</f>
        <v>103893760</v>
      </c>
    </row>
    <row r="50" spans="1:21" x14ac:dyDescent="0.25">
      <c r="A50" s="18" t="str">
        <f>'Volume projections'!A57</f>
        <v>High growth scenario</v>
      </c>
      <c r="B50" s="27">
        <f>'Volume projections'!B57</f>
        <v>374236800</v>
      </c>
      <c r="C50" s="27">
        <f>'Volume projections'!C57</f>
        <v>111742120</v>
      </c>
      <c r="D50" s="27">
        <f>'Volume projections'!D57</f>
        <v>122423250</v>
      </c>
      <c r="E50" s="27">
        <f>'Volume projections'!E57</f>
        <v>103893760</v>
      </c>
      <c r="F50" s="27">
        <f>'Volume projections'!F57</f>
        <v>104413228.79999998</v>
      </c>
      <c r="G50" s="27">
        <f>'Volume projections'!G57</f>
        <v>104935294.94399998</v>
      </c>
      <c r="H50" s="27">
        <f>'Volume projections'!H57</f>
        <v>105459971.41871996</v>
      </c>
      <c r="I50" s="27">
        <f>'Volume projections'!I57</f>
        <v>105987271.27581355</v>
      </c>
      <c r="J50" s="27">
        <f>'Volume projections'!J57</f>
        <v>106517207.63219261</v>
      </c>
      <c r="K50" s="27">
        <f>'Volume projections'!K57</f>
        <v>107049793.67035356</v>
      </c>
      <c r="L50" s="27">
        <f>'Volume projections'!L57</f>
        <v>107585042.63870531</v>
      </c>
      <c r="M50" s="27">
        <f>'Volume projections'!M57</f>
        <v>108122967.85189883</v>
      </c>
      <c r="N50" s="27">
        <f>'Volume projections'!N57</f>
        <v>108663582.69115831</v>
      </c>
      <c r="O50" s="27">
        <f>'Volume projections'!O57</f>
        <v>109206900.60461409</v>
      </c>
      <c r="P50" s="27">
        <f>'Volume projections'!P57</f>
        <v>109752935.10763715</v>
      </c>
      <c r="Q50" s="27">
        <f>'Volume projections'!Q57</f>
        <v>110301699.78317532</v>
      </c>
      <c r="R50" s="27">
        <f>'Volume projections'!R57</f>
        <v>110853208.28209119</v>
      </c>
      <c r="S50" s="27">
        <f>'Volume projections'!S57</f>
        <v>111407474.32350163</v>
      </c>
      <c r="T50" s="27">
        <f>'Volume projections'!T57</f>
        <v>111964511.69511913</v>
      </c>
      <c r="U50" s="27">
        <f>'Volume projections'!U57</f>
        <v>112524334.25359471</v>
      </c>
    </row>
    <row r="57" spans="1:21" x14ac:dyDescent="0.25">
      <c r="B57" s="13">
        <f>2.8/3.6</f>
        <v>0.77777777777777768</v>
      </c>
    </row>
  </sheetData>
  <phoneticPr fontId="1" type="noConversion"/>
  <conditionalFormatting sqref="B1:U6 I11:U11 B12:U13 B18:U20 B25:U27 B32:U34 B39:U40 B45:U46 B51:U1048576">
    <cfRule type="cellIs" dxfId="10" priority="1" operator="less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A58C0-C69C-4EE0-8FDF-4B844EDCE6AD}">
  <dimension ref="A1:AT170"/>
  <sheetViews>
    <sheetView topLeftCell="A29" zoomScaleNormal="100" workbookViewId="0">
      <pane xSplit="1" topLeftCell="B1" activePane="topRight" state="frozen"/>
      <selection activeCell="H13" sqref="H13"/>
      <selection pane="topRight" activeCell="B42" sqref="B42"/>
    </sheetView>
  </sheetViews>
  <sheetFormatPr defaultColWidth="8.5703125" defaultRowHeight="15" x14ac:dyDescent="0.25"/>
  <cols>
    <col min="1" max="1" width="59.28515625" style="13" customWidth="1"/>
    <col min="2" max="2" width="25.42578125" style="13" customWidth="1"/>
    <col min="3" max="3" width="52.5703125" style="13" customWidth="1"/>
    <col min="4" max="23" width="19" style="13" customWidth="1"/>
    <col min="24" max="24" width="27.42578125" style="13" bestFit="1" customWidth="1"/>
    <col min="25" max="25" width="26.42578125" style="13" bestFit="1" customWidth="1"/>
    <col min="26" max="45" width="18.28515625" style="13" customWidth="1"/>
    <col min="46" max="46" width="16.5703125" style="13" customWidth="1"/>
    <col min="47" max="16384" width="8.5703125" style="13"/>
  </cols>
  <sheetData>
    <row r="1" spans="1:10" s="19" customFormat="1" ht="18.75" x14ac:dyDescent="0.3">
      <c r="A1" s="90" t="s">
        <v>19</v>
      </c>
      <c r="B1" s="94"/>
      <c r="C1" s="94"/>
      <c r="D1" s="93"/>
      <c r="E1" s="93"/>
      <c r="F1" s="93"/>
      <c r="G1" s="93"/>
      <c r="H1" s="93"/>
      <c r="I1" s="93"/>
      <c r="J1" s="93"/>
    </row>
    <row r="3" spans="1:10" x14ac:dyDescent="0.25">
      <c r="A3" s="13" t="s">
        <v>20</v>
      </c>
    </row>
    <row r="5" spans="1:10" x14ac:dyDescent="0.25">
      <c r="A5" s="85" t="s">
        <v>21</v>
      </c>
      <c r="B5" s="85" t="s">
        <v>22</v>
      </c>
      <c r="C5" s="85" t="s">
        <v>23</v>
      </c>
      <c r="D5" s="85" t="s">
        <v>24</v>
      </c>
      <c r="E5" s="85" t="s">
        <v>25</v>
      </c>
      <c r="F5" s="85"/>
    </row>
    <row r="6" spans="1:10" x14ac:dyDescent="0.25">
      <c r="A6" s="85"/>
      <c r="B6" s="85"/>
      <c r="C6" s="85"/>
      <c r="D6" s="85"/>
    </row>
    <row r="7" spans="1:10" x14ac:dyDescent="0.25">
      <c r="A7" s="85"/>
      <c r="B7" s="85"/>
      <c r="C7" s="85"/>
      <c r="D7" s="85"/>
    </row>
    <row r="8" spans="1:10" x14ac:dyDescent="0.25">
      <c r="A8" s="49" t="s">
        <v>26</v>
      </c>
      <c r="B8" s="50"/>
      <c r="C8" s="50"/>
      <c r="D8" s="50"/>
      <c r="E8" s="50"/>
      <c r="F8" s="87" t="s">
        <v>27</v>
      </c>
    </row>
    <row r="10" spans="1:10" x14ac:dyDescent="0.25">
      <c r="A10" s="131" t="s">
        <v>28</v>
      </c>
      <c r="B10" s="131" t="s">
        <v>29</v>
      </c>
      <c r="C10" s="131"/>
      <c r="D10" s="138">
        <v>60</v>
      </c>
      <c r="E10" s="16" t="s">
        <v>30</v>
      </c>
      <c r="F10" s="85" t="s">
        <v>31</v>
      </c>
    </row>
    <row r="11" spans="1:10" ht="30" x14ac:dyDescent="0.25">
      <c r="A11" s="131" t="s">
        <v>32</v>
      </c>
      <c r="B11" s="131" t="s">
        <v>33</v>
      </c>
      <c r="C11" s="131" t="s">
        <v>34</v>
      </c>
      <c r="D11" s="138">
        <v>60</v>
      </c>
      <c r="E11" s="16" t="s">
        <v>35</v>
      </c>
      <c r="F11" s="85" t="s">
        <v>31</v>
      </c>
    </row>
    <row r="12" spans="1:10" x14ac:dyDescent="0.25">
      <c r="A12" s="131" t="s">
        <v>36</v>
      </c>
      <c r="B12" s="131" t="s">
        <v>37</v>
      </c>
      <c r="C12" s="131"/>
      <c r="D12" s="138">
        <v>365</v>
      </c>
      <c r="E12" s="16"/>
      <c r="F12" s="85" t="s">
        <v>31</v>
      </c>
    </row>
    <row r="13" spans="1:10" x14ac:dyDescent="0.25">
      <c r="A13" s="131" t="s">
        <v>38</v>
      </c>
      <c r="B13" s="131" t="s">
        <v>39</v>
      </c>
      <c r="C13" s="131"/>
      <c r="D13" s="138">
        <v>52</v>
      </c>
      <c r="E13" s="16"/>
      <c r="F13" s="85"/>
    </row>
    <row r="14" spans="1:10" x14ac:dyDescent="0.25">
      <c r="A14" s="131" t="s">
        <v>40</v>
      </c>
      <c r="B14" s="131" t="s">
        <v>41</v>
      </c>
      <c r="C14" s="131"/>
      <c r="D14" s="138">
        <v>5</v>
      </c>
      <c r="E14" s="16"/>
      <c r="F14" s="85" t="s">
        <v>31</v>
      </c>
    </row>
    <row r="15" spans="1:10" x14ac:dyDescent="0.25">
      <c r="A15" s="131" t="s">
        <v>42</v>
      </c>
      <c r="B15" s="131" t="s">
        <v>41</v>
      </c>
      <c r="C15" s="131"/>
      <c r="D15" s="138">
        <v>7</v>
      </c>
      <c r="E15" s="16"/>
      <c r="F15" s="85" t="s">
        <v>31</v>
      </c>
    </row>
    <row r="16" spans="1:10" x14ac:dyDescent="0.25">
      <c r="A16" s="131"/>
      <c r="B16" s="131"/>
      <c r="C16" s="131"/>
      <c r="D16" s="137"/>
      <c r="E16" s="16"/>
    </row>
    <row r="17" spans="1:6" x14ac:dyDescent="0.25">
      <c r="A17" s="131" t="s">
        <v>43</v>
      </c>
      <c r="B17" s="131" t="s">
        <v>44</v>
      </c>
      <c r="C17" s="131"/>
      <c r="D17" s="138">
        <v>2</v>
      </c>
      <c r="E17" s="135" t="s">
        <v>45</v>
      </c>
      <c r="F17" s="85" t="s">
        <v>31</v>
      </c>
    </row>
    <row r="18" spans="1:6" x14ac:dyDescent="0.25">
      <c r="A18" s="131"/>
      <c r="B18" s="131"/>
      <c r="C18" s="131"/>
      <c r="D18" s="137"/>
      <c r="E18" s="135"/>
      <c r="F18" s="85"/>
    </row>
    <row r="19" spans="1:6" x14ac:dyDescent="0.25">
      <c r="A19" s="131"/>
      <c r="B19" s="131"/>
      <c r="C19" s="131"/>
      <c r="D19" s="137"/>
      <c r="E19" s="135"/>
      <c r="F19" s="85"/>
    </row>
    <row r="20" spans="1:6" x14ac:dyDescent="0.25">
      <c r="A20" s="147" t="s">
        <v>46</v>
      </c>
      <c r="B20" s="148"/>
      <c r="C20" s="148"/>
      <c r="D20" s="149"/>
      <c r="E20" s="159"/>
      <c r="F20" s="86"/>
    </row>
    <row r="21" spans="1:6" x14ac:dyDescent="0.25">
      <c r="A21" s="131"/>
      <c r="B21" s="131"/>
      <c r="C21" s="131"/>
      <c r="D21" s="137"/>
      <c r="E21" s="135"/>
      <c r="F21" s="22" t="s">
        <v>47</v>
      </c>
    </row>
    <row r="22" spans="1:6" x14ac:dyDescent="0.25">
      <c r="A22" s="131" t="s">
        <v>48</v>
      </c>
      <c r="B22" s="131" t="s">
        <v>49</v>
      </c>
      <c r="C22" s="131"/>
      <c r="D22" s="163">
        <v>3.0800000000000001E-2</v>
      </c>
      <c r="E22" s="135" t="s">
        <v>50</v>
      </c>
      <c r="F22" s="85" t="s">
        <v>442</v>
      </c>
    </row>
    <row r="23" spans="1:6" x14ac:dyDescent="0.25">
      <c r="A23" s="131" t="s">
        <v>51</v>
      </c>
      <c r="B23" s="131"/>
      <c r="C23" s="131"/>
      <c r="D23" s="160">
        <v>4.17</v>
      </c>
      <c r="E23" s="16" t="s">
        <v>52</v>
      </c>
      <c r="F23" s="85" t="s">
        <v>442</v>
      </c>
    </row>
    <row r="24" spans="1:6" x14ac:dyDescent="0.25">
      <c r="A24" s="131" t="s">
        <v>53</v>
      </c>
      <c r="B24" s="131"/>
      <c r="C24" s="131"/>
      <c r="D24" s="180">
        <v>0.08</v>
      </c>
      <c r="E24" s="135" t="s">
        <v>54</v>
      </c>
      <c r="F24" s="85" t="s">
        <v>55</v>
      </c>
    </row>
    <row r="25" spans="1:6" x14ac:dyDescent="0.25">
      <c r="A25" s="181" t="s">
        <v>56</v>
      </c>
      <c r="B25" s="131"/>
      <c r="C25" s="131"/>
      <c r="D25" s="137"/>
      <c r="E25" s="135"/>
      <c r="F25" s="85"/>
    </row>
    <row r="26" spans="1:6" x14ac:dyDescent="0.25">
      <c r="A26" s="131"/>
      <c r="B26" s="131"/>
      <c r="C26" s="131"/>
      <c r="D26" s="137"/>
      <c r="E26" s="135"/>
      <c r="F26" s="85"/>
    </row>
    <row r="27" spans="1:6" x14ac:dyDescent="0.25">
      <c r="A27" s="147" t="s">
        <v>57</v>
      </c>
      <c r="B27" s="147"/>
      <c r="C27" s="147"/>
      <c r="D27" s="161"/>
      <c r="E27" s="162"/>
      <c r="F27" s="87"/>
    </row>
    <row r="28" spans="1:6" x14ac:dyDescent="0.25">
      <c r="A28" s="131"/>
      <c r="B28" s="131"/>
      <c r="C28" s="131"/>
      <c r="D28" s="137"/>
      <c r="E28" s="135"/>
    </row>
    <row r="29" spans="1:6" x14ac:dyDescent="0.25">
      <c r="A29" s="131" t="s">
        <v>58</v>
      </c>
      <c r="B29" s="131"/>
      <c r="C29" s="131"/>
      <c r="D29" s="233">
        <v>0.93</v>
      </c>
      <c r="E29" s="135"/>
      <c r="F29" s="85" t="s">
        <v>442</v>
      </c>
    </row>
    <row r="30" spans="1:6" x14ac:dyDescent="0.25">
      <c r="A30" s="131" t="s">
        <v>59</v>
      </c>
      <c r="B30" s="131"/>
      <c r="C30" s="131"/>
      <c r="D30" s="166">
        <f>D13*D14</f>
        <v>260</v>
      </c>
      <c r="E30" s="135"/>
    </row>
    <row r="31" spans="1:6" x14ac:dyDescent="0.25">
      <c r="A31" s="131"/>
      <c r="B31" s="131"/>
      <c r="C31" s="131"/>
      <c r="D31" s="137"/>
      <c r="E31" s="135"/>
    </row>
    <row r="32" spans="1:6" x14ac:dyDescent="0.25">
      <c r="A32" s="131" t="s">
        <v>60</v>
      </c>
      <c r="B32" s="131"/>
      <c r="C32" s="131"/>
      <c r="D32" s="234">
        <v>7.85E-2</v>
      </c>
      <c r="E32" s="135"/>
      <c r="F32" s="85" t="s">
        <v>442</v>
      </c>
    </row>
    <row r="33" spans="1:6" x14ac:dyDescent="0.25">
      <c r="A33" s="131"/>
      <c r="B33" s="131"/>
      <c r="C33" s="131"/>
      <c r="D33" s="164"/>
      <c r="E33" s="135"/>
    </row>
    <row r="34" spans="1:6" x14ac:dyDescent="0.25">
      <c r="A34" s="131" t="s">
        <v>61</v>
      </c>
      <c r="B34" s="131"/>
      <c r="C34" s="131"/>
      <c r="D34" s="165">
        <f>D29*D32/D30</f>
        <v>2.8078846153846155E-4</v>
      </c>
      <c r="E34" s="16" t="s">
        <v>62</v>
      </c>
      <c r="F34" s="85" t="s">
        <v>442</v>
      </c>
    </row>
    <row r="35" spans="1:6" x14ac:dyDescent="0.25">
      <c r="A35" s="131"/>
      <c r="B35" s="131"/>
      <c r="C35" s="131"/>
      <c r="D35" s="137"/>
      <c r="E35" s="135"/>
    </row>
    <row r="36" spans="1:6" x14ac:dyDescent="0.25">
      <c r="A36" s="85"/>
      <c r="B36" s="131"/>
      <c r="C36" s="131"/>
      <c r="D36" s="137"/>
    </row>
    <row r="37" spans="1:6" x14ac:dyDescent="0.25">
      <c r="A37" s="131"/>
      <c r="B37" s="131"/>
      <c r="C37" s="131"/>
      <c r="D37" s="137"/>
    </row>
    <row r="38" spans="1:6" x14ac:dyDescent="0.25">
      <c r="A38" s="147" t="s">
        <v>63</v>
      </c>
      <c r="B38" s="147"/>
      <c r="C38" s="147"/>
      <c r="D38" s="161"/>
      <c r="E38" s="49"/>
      <c r="F38" s="49"/>
    </row>
    <row r="39" spans="1:6" x14ac:dyDescent="0.25">
      <c r="A39" s="131"/>
      <c r="B39" s="171" t="s">
        <v>64</v>
      </c>
      <c r="C39" s="131"/>
      <c r="D39" s="172" t="s">
        <v>22</v>
      </c>
      <c r="F39" s="22" t="s">
        <v>47</v>
      </c>
    </row>
    <row r="40" spans="1:6" x14ac:dyDescent="0.25">
      <c r="A40" s="131" t="str" cm="1">
        <f t="array" ref="A40:A55">core_elements</f>
        <v>Application server hardware</v>
      </c>
      <c r="B40" s="131" t="s">
        <v>65</v>
      </c>
      <c r="C40" s="131"/>
      <c r="D40" s="166">
        <v>87200</v>
      </c>
      <c r="E40" s="16" t="s">
        <v>66</v>
      </c>
      <c r="F40" s="85" t="s">
        <v>55</v>
      </c>
    </row>
    <row r="41" spans="1:6" x14ac:dyDescent="0.25">
      <c r="A41" s="131" t="str">
        <v>Application server software</v>
      </c>
      <c r="B41" s="131" t="s">
        <v>65</v>
      </c>
      <c r="C41" s="131"/>
      <c r="D41" s="166">
        <v>85000</v>
      </c>
      <c r="E41" s="16" t="s">
        <v>67</v>
      </c>
      <c r="F41" s="85" t="s">
        <v>55</v>
      </c>
    </row>
    <row r="42" spans="1:6" x14ac:dyDescent="0.25">
      <c r="A42" s="131" t="str">
        <v>Charging data function hardware</v>
      </c>
      <c r="B42" s="167" t="s">
        <v>68</v>
      </c>
      <c r="C42" s="131"/>
      <c r="D42" s="166">
        <v>10760000</v>
      </c>
      <c r="E42" s="16" t="s">
        <v>69</v>
      </c>
      <c r="F42" s="85" t="s">
        <v>442</v>
      </c>
    </row>
    <row r="43" spans="1:6" x14ac:dyDescent="0.25">
      <c r="A43" s="131" t="str">
        <v>Charging data function software</v>
      </c>
      <c r="B43" s="167" t="s">
        <v>68</v>
      </c>
      <c r="C43" s="131"/>
      <c r="D43" s="166">
        <v>8400000</v>
      </c>
      <c r="E43" s="16" t="s">
        <v>70</v>
      </c>
      <c r="F43" s="85" t="s">
        <v>442</v>
      </c>
    </row>
    <row r="44" spans="1:6" x14ac:dyDescent="0.25">
      <c r="A44" s="131" t="str">
        <v>Proxy - Call session control function hardware</v>
      </c>
      <c r="B44" s="131" t="s">
        <v>71</v>
      </c>
      <c r="C44" s="131"/>
      <c r="D44" s="166">
        <f>interr_cscf_hardware</f>
        <v>1100000</v>
      </c>
      <c r="E44" s="16" t="s">
        <v>72</v>
      </c>
      <c r="F44" s="85" t="s">
        <v>55</v>
      </c>
    </row>
    <row r="45" spans="1:6" x14ac:dyDescent="0.25">
      <c r="A45" s="131" t="str">
        <v>Proxy - Call session control function software</v>
      </c>
      <c r="B45" s="131" t="s">
        <v>71</v>
      </c>
      <c r="C45" s="131"/>
      <c r="D45" s="166">
        <f>interr_cscf_software</f>
        <v>1150000</v>
      </c>
      <c r="E45" s="16" t="s">
        <v>73</v>
      </c>
      <c r="F45" s="85" t="s">
        <v>55</v>
      </c>
    </row>
    <row r="46" spans="1:6" x14ac:dyDescent="0.25">
      <c r="A46" s="131" t="str">
        <v>Interrogating - Call session control function hardware</v>
      </c>
      <c r="B46" s="131" t="s">
        <v>71</v>
      </c>
      <c r="C46" s="131"/>
      <c r="D46" s="175">
        <v>1100000</v>
      </c>
      <c r="E46" s="16" t="s">
        <v>74</v>
      </c>
      <c r="F46" s="85" t="s">
        <v>55</v>
      </c>
    </row>
    <row r="47" spans="1:6" x14ac:dyDescent="0.25">
      <c r="A47" s="131" t="str">
        <v>Interrogating - Call session control function software</v>
      </c>
      <c r="B47" s="131" t="s">
        <v>71</v>
      </c>
      <c r="C47" s="131"/>
      <c r="D47" s="175">
        <v>1150000</v>
      </c>
      <c r="E47" s="16" t="s">
        <v>75</v>
      </c>
      <c r="F47" s="85" t="s">
        <v>55</v>
      </c>
    </row>
    <row r="48" spans="1:6" x14ac:dyDescent="0.25">
      <c r="A48" s="131" t="str">
        <v>Serving - Call session control function hardware</v>
      </c>
      <c r="B48" s="131" t="s">
        <v>71</v>
      </c>
      <c r="C48" s="131"/>
      <c r="D48" s="175">
        <v>1250000</v>
      </c>
      <c r="E48" s="16" t="s">
        <v>76</v>
      </c>
      <c r="F48" s="85" t="s">
        <v>55</v>
      </c>
    </row>
    <row r="49" spans="1:45" x14ac:dyDescent="0.25">
      <c r="A49" s="131" t="str">
        <v>Serving - Call session control function software</v>
      </c>
      <c r="B49" s="131" t="s">
        <v>71</v>
      </c>
      <c r="C49" s="131"/>
      <c r="D49" s="175">
        <v>1100000</v>
      </c>
      <c r="E49" s="16" t="s">
        <v>77</v>
      </c>
      <c r="F49" s="85" t="s">
        <v>55</v>
      </c>
    </row>
    <row r="50" spans="1:45" x14ac:dyDescent="0.25">
      <c r="A50" s="131" t="str">
        <v>Media resource function - hardware</v>
      </c>
      <c r="B50" s="167" t="s">
        <v>78</v>
      </c>
      <c r="C50" s="131"/>
      <c r="D50" s="175">
        <v>8000</v>
      </c>
      <c r="E50" s="16" t="s">
        <v>79</v>
      </c>
      <c r="F50" s="85" t="s">
        <v>55</v>
      </c>
    </row>
    <row r="51" spans="1:45" x14ac:dyDescent="0.25">
      <c r="A51" s="131" t="str">
        <v>Media resource function - software</v>
      </c>
      <c r="B51" s="167" t="s">
        <v>78</v>
      </c>
      <c r="C51" s="131"/>
      <c r="D51" s="175">
        <v>7000</v>
      </c>
      <c r="E51" s="16" t="s">
        <v>80</v>
      </c>
      <c r="F51" s="85" t="s">
        <v>55</v>
      </c>
    </row>
    <row r="52" spans="1:45" x14ac:dyDescent="0.25">
      <c r="A52" s="131" t="str">
        <v>Access session border controller - hardware</v>
      </c>
      <c r="B52" s="167" t="s">
        <v>78</v>
      </c>
      <c r="C52" s="131"/>
      <c r="D52" s="175">
        <v>80000</v>
      </c>
      <c r="E52" s="16" t="s">
        <v>81</v>
      </c>
      <c r="F52" s="85" t="s">
        <v>55</v>
      </c>
    </row>
    <row r="53" spans="1:45" x14ac:dyDescent="0.25">
      <c r="A53" s="131" t="str">
        <v>Access session border controller - software</v>
      </c>
      <c r="B53" s="167" t="s">
        <v>78</v>
      </c>
      <c r="C53" s="131"/>
      <c r="D53" s="175">
        <v>8000</v>
      </c>
      <c r="E53" s="16" t="s">
        <v>82</v>
      </c>
      <c r="F53" s="85" t="s">
        <v>55</v>
      </c>
    </row>
    <row r="54" spans="1:45" x14ac:dyDescent="0.25">
      <c r="A54" s="131" t="str">
        <v>Internet exchange point session border controller - hardware</v>
      </c>
      <c r="B54" s="167" t="s">
        <v>78</v>
      </c>
      <c r="C54" s="131"/>
      <c r="D54" s="175">
        <v>80000</v>
      </c>
      <c r="E54" s="16" t="s">
        <v>83</v>
      </c>
      <c r="F54" s="85" t="s">
        <v>55</v>
      </c>
    </row>
    <row r="55" spans="1:45" x14ac:dyDescent="0.25">
      <c r="A55" s="131" t="str">
        <v>Internet exchange point session border controller - software</v>
      </c>
      <c r="B55" s="167" t="s">
        <v>78</v>
      </c>
      <c r="C55" s="131"/>
      <c r="D55" s="175">
        <v>40000</v>
      </c>
      <c r="E55" s="16" t="s">
        <v>84</v>
      </c>
      <c r="F55" s="85" t="s">
        <v>55</v>
      </c>
    </row>
    <row r="56" spans="1:45" x14ac:dyDescent="0.25">
      <c r="A56" s="84"/>
      <c r="B56" s="131"/>
    </row>
    <row r="57" spans="1:45" x14ac:dyDescent="0.25">
      <c r="A57" s="81" t="s">
        <v>85</v>
      </c>
    </row>
    <row r="58" spans="1:45" x14ac:dyDescent="0.25">
      <c r="A58" s="81" t="s">
        <v>86</v>
      </c>
    </row>
    <row r="59" spans="1:45" x14ac:dyDescent="0.25">
      <c r="A59" s="84"/>
    </row>
    <row r="60" spans="1:45" s="50" customFormat="1" x14ac:dyDescent="0.25">
      <c r="A60" s="49" t="s">
        <v>87</v>
      </c>
    </row>
    <row r="61" spans="1:45" x14ac:dyDescent="0.25">
      <c r="A61" s="2"/>
    </row>
    <row r="62" spans="1:45" x14ac:dyDescent="0.25">
      <c r="A62" s="13" t="s">
        <v>88</v>
      </c>
      <c r="D62" s="76"/>
      <c r="Z62" s="49" t="s">
        <v>89</v>
      </c>
      <c r="AA62" s="50"/>
      <c r="AB62" s="50"/>
      <c r="AC62" s="50"/>
      <c r="AD62" s="50"/>
      <c r="AE62" s="50"/>
      <c r="AF62" s="50"/>
      <c r="AG62" s="50"/>
      <c r="AH62" s="50"/>
      <c r="AI62" s="50"/>
      <c r="AJ62" s="50"/>
      <c r="AK62" s="50"/>
      <c r="AL62" s="50"/>
      <c r="AM62" s="50"/>
      <c r="AN62" s="50"/>
      <c r="AO62" s="50"/>
      <c r="AP62" s="50"/>
      <c r="AQ62" s="50"/>
      <c r="AR62" s="50"/>
      <c r="AS62" s="50"/>
    </row>
    <row r="64" spans="1:45" x14ac:dyDescent="0.25">
      <c r="B64" s="85"/>
      <c r="D64" s="53" cm="1">
        <f t="array" ref="D64:W64">years</f>
        <v>2018</v>
      </c>
      <c r="E64" s="53">
        <v>2019</v>
      </c>
      <c r="F64" s="53">
        <v>2020</v>
      </c>
      <c r="G64" s="53">
        <v>2021</v>
      </c>
      <c r="H64" s="53">
        <v>2022</v>
      </c>
      <c r="I64" s="53">
        <v>2023</v>
      </c>
      <c r="J64" s="53">
        <v>2024</v>
      </c>
      <c r="K64" s="53">
        <v>2025</v>
      </c>
      <c r="L64" s="53">
        <v>2026</v>
      </c>
      <c r="M64" s="53">
        <v>2027</v>
      </c>
      <c r="N64" s="53">
        <v>2028</v>
      </c>
      <c r="O64" s="53">
        <v>2029</v>
      </c>
      <c r="P64" s="53">
        <v>2030</v>
      </c>
      <c r="Q64" s="53">
        <v>2031</v>
      </c>
      <c r="R64" s="53">
        <v>2032</v>
      </c>
      <c r="S64" s="53">
        <v>2033</v>
      </c>
      <c r="T64" s="53">
        <v>2034</v>
      </c>
      <c r="U64" s="53">
        <v>2035</v>
      </c>
      <c r="V64" s="53">
        <v>2036</v>
      </c>
      <c r="W64" s="53">
        <v>2037</v>
      </c>
      <c r="Z64" s="53" cm="1">
        <f t="array" ref="Z64:AS64">years</f>
        <v>2018</v>
      </c>
      <c r="AA64" s="53">
        <v>2019</v>
      </c>
      <c r="AB64" s="53">
        <v>2020</v>
      </c>
      <c r="AC64" s="53">
        <v>2021</v>
      </c>
      <c r="AD64" s="53">
        <v>2022</v>
      </c>
      <c r="AE64" s="53">
        <v>2023</v>
      </c>
      <c r="AF64" s="53">
        <v>2024</v>
      </c>
      <c r="AG64" s="53">
        <v>2025</v>
      </c>
      <c r="AH64" s="53">
        <v>2026</v>
      </c>
      <c r="AI64" s="53">
        <v>2027</v>
      </c>
      <c r="AJ64" s="53">
        <v>2028</v>
      </c>
      <c r="AK64" s="53">
        <v>2029</v>
      </c>
      <c r="AL64" s="53">
        <v>2030</v>
      </c>
      <c r="AM64" s="53">
        <v>2031</v>
      </c>
      <c r="AN64" s="53">
        <v>2032</v>
      </c>
      <c r="AO64" s="53">
        <v>2033</v>
      </c>
      <c r="AP64" s="53">
        <v>2034</v>
      </c>
      <c r="AQ64" s="53">
        <v>2035</v>
      </c>
      <c r="AR64" s="53">
        <v>2036</v>
      </c>
      <c r="AS64" s="53">
        <v>2037</v>
      </c>
    </row>
    <row r="65" spans="1:45" x14ac:dyDescent="0.25">
      <c r="A65" s="13" t="str">
        <f>'1 Volumes'!A5</f>
        <v>On-net fixed to fixed traffic</v>
      </c>
      <c r="B65" s="85"/>
      <c r="D65" s="27">
        <f>INDEX('1 Volumes'!B8:B10, MATCH(Summary!$B$18,'1 Volumes'!$A8:$A10,0),1)*share_operator</f>
        <v>3829878720</v>
      </c>
      <c r="E65" s="27">
        <f>INDEX('1 Volumes'!C8:C10, MATCH(Summary!$B$18,'1 Volumes'!$A8:$A10,0),1)*share_operator</f>
        <v>3860582040</v>
      </c>
      <c r="F65" s="27">
        <f>INDEX('1 Volumes'!D8:D10, MATCH(Summary!$B$18,'1 Volumes'!$A8:$A10,0),1)*share_operator</f>
        <v>3595071600</v>
      </c>
      <c r="G65" s="27">
        <f>INDEX('1 Volumes'!E8:E10, MATCH(Summary!$B$18,'1 Volumes'!$A8:$A10,0),1)*share_operator</f>
        <v>3395848320</v>
      </c>
      <c r="H65" s="27">
        <f>INDEX('1 Volumes'!F8:F10, MATCH(Summary!$B$18,'1 Volumes'!$A8:$A10,0),1)*share_operator</f>
        <v>3412827561.5999994</v>
      </c>
      <c r="I65" s="27">
        <f>INDEX('1 Volumes'!G8:G10, MATCH(Summary!$B$18,'1 Volumes'!$A8:$A10,0),1)*share_operator</f>
        <v>3429891699.407999</v>
      </c>
      <c r="J65" s="27">
        <f>INDEX('1 Volumes'!H8:H10, MATCH(Summary!$B$18,'1 Volumes'!$A8:$A10,0),1)*share_operator</f>
        <v>3447041157.9050388</v>
      </c>
      <c r="K65" s="27">
        <f>INDEX('1 Volumes'!I8:I10, MATCH(Summary!$B$18,'1 Volumes'!$A8:$A10,0),1)*share_operator</f>
        <v>3464276363.6945634</v>
      </c>
      <c r="L65" s="27">
        <f>INDEX('1 Volumes'!J8:J10, MATCH(Summary!$B$18,'1 Volumes'!$A8:$A10,0),1)*share_operator</f>
        <v>3481597745.5130358</v>
      </c>
      <c r="M65" s="27">
        <f>INDEX('1 Volumes'!K8:K10, MATCH(Summary!$B$18,'1 Volumes'!$A8:$A10,0),1)*share_operator</f>
        <v>3499005734.2406006</v>
      </c>
      <c r="N65" s="27">
        <f>INDEX('1 Volumes'!L8:L10, MATCH(Summary!$B$18,'1 Volumes'!$A8:$A10,0),1)*share_operator</f>
        <v>3516500762.9118032</v>
      </c>
      <c r="O65" s="27">
        <f>INDEX('1 Volumes'!M8:M10, MATCH(Summary!$B$18,'1 Volumes'!$A8:$A10,0),1)*share_operator</f>
        <v>3534083266.7263618</v>
      </c>
      <c r="P65" s="27">
        <f>INDEX('1 Volumes'!N8:N10, MATCH(Summary!$B$18,'1 Volumes'!$A8:$A10,0),1)*share_operator</f>
        <v>3551753683.0599933</v>
      </c>
      <c r="Q65" s="27">
        <f>INDEX('1 Volumes'!O8:O10, MATCH(Summary!$B$18,'1 Volumes'!$A8:$A10,0),1)*share_operator</f>
        <v>3569512451.4752927</v>
      </c>
      <c r="R65" s="27">
        <f>INDEX('1 Volumes'!P8:P10, MATCH(Summary!$B$18,'1 Volumes'!$A8:$A10,0),1)*share_operator</f>
        <v>3587360013.7326689</v>
      </c>
      <c r="S65" s="27">
        <f>INDEX('1 Volumes'!Q8:Q10, MATCH(Summary!$B$18,'1 Volumes'!$A8:$A10,0),1)*share_operator</f>
        <v>3605296813.801332</v>
      </c>
      <c r="T65" s="27">
        <f>INDEX('1 Volumes'!R8:R10, MATCH(Summary!$B$18,'1 Volumes'!$A8:$A10,0),1)*share_operator</f>
        <v>3623323297.8703384</v>
      </c>
      <c r="U65" s="27">
        <f>INDEX('1 Volumes'!S8:S10, MATCH(Summary!$B$18,'1 Volumes'!$A8:$A10,0),1)*share_operator</f>
        <v>3641439914.3596897</v>
      </c>
      <c r="V65" s="27">
        <f>INDEX('1 Volumes'!T8:T10, MATCH(Summary!$B$18,'1 Volumes'!$A8:$A10,0),1)*share_operator</f>
        <v>3659647113.931488</v>
      </c>
      <c r="W65" s="27">
        <f>INDEX('1 Volumes'!U8:U10, MATCH(Summary!$B$18,'1 Volumes'!$A8:$A10,0),1)*share_operator</f>
        <v>3677945349.5011449</v>
      </c>
    </row>
    <row r="66" spans="1:45" x14ac:dyDescent="0.25">
      <c r="A66" s="13" t="str">
        <f>'1 Volumes'!A12</f>
        <v>Incoming fixed to fixed traffic</v>
      </c>
      <c r="B66" s="85"/>
      <c r="D66" s="27">
        <f>INDEX('1 Volumes'!B15:B17, MATCH(Summary!$B$18,'1 Volumes'!$A15:$A17,0),1)*share_operator</f>
        <v>2553252480</v>
      </c>
      <c r="E66" s="27">
        <f>INDEX('1 Volumes'!C15:C17, MATCH(Summary!$B$18,'1 Volumes'!$A15:$A17,0),1)*share_operator</f>
        <v>2573721360</v>
      </c>
      <c r="F66" s="27">
        <f>INDEX('1 Volumes'!D15:D17, MATCH(Summary!$B$18,'1 Volumes'!$A15:$A17,0),1)*share_operator</f>
        <v>2396714400</v>
      </c>
      <c r="G66" s="27">
        <f>INDEX('1 Volumes'!E15:E17, MATCH(Summary!$B$18,'1 Volumes'!$A15:$A17,0),1)*share_operator</f>
        <v>2263898880</v>
      </c>
      <c r="H66" s="27">
        <f>INDEX('1 Volumes'!F15:F17, MATCH(Summary!$B$18,'1 Volumes'!$A15:$A17,0),1)*share_operator</f>
        <v>2275218374.3999996</v>
      </c>
      <c r="I66" s="27">
        <f>INDEX('1 Volumes'!G15:G17, MATCH(Summary!$B$18,'1 Volumes'!$A15:$A17,0),1)*share_operator</f>
        <v>2286594466.2719994</v>
      </c>
      <c r="J66" s="27">
        <f>INDEX('1 Volumes'!H15:H17, MATCH(Summary!$B$18,'1 Volumes'!$A15:$A17,0),1)*share_operator</f>
        <v>2298027438.6033592</v>
      </c>
      <c r="K66" s="27">
        <f>INDEX('1 Volumes'!I15:I17, MATCH(Summary!$B$18,'1 Volumes'!$A15:$A17,0),1)*share_operator</f>
        <v>2309517575.7963758</v>
      </c>
      <c r="L66" s="27">
        <f>INDEX('1 Volumes'!J15:J17, MATCH(Summary!$B$18,'1 Volumes'!$A15:$A17,0),1)*share_operator</f>
        <v>2321065163.6753573</v>
      </c>
      <c r="M66" s="27">
        <f>INDEX('1 Volumes'!K15:K17, MATCH(Summary!$B$18,'1 Volumes'!$A15:$A17,0),1)*share_operator</f>
        <v>2332670489.4937339</v>
      </c>
      <c r="N66" s="27">
        <f>INDEX('1 Volumes'!L15:L17, MATCH(Summary!$B$18,'1 Volumes'!$A15:$A17,0),1)*share_operator</f>
        <v>2344333841.9412022</v>
      </c>
      <c r="O66" s="27">
        <f>INDEX('1 Volumes'!M15:M17, MATCH(Summary!$B$18,'1 Volumes'!$A15:$A17,0),1)*share_operator</f>
        <v>2356055511.150908</v>
      </c>
      <c r="P66" s="27">
        <f>INDEX('1 Volumes'!N15:N17, MATCH(Summary!$B$18,'1 Volumes'!$A15:$A17,0),1)*share_operator</f>
        <v>2367835788.7066622</v>
      </c>
      <c r="Q66" s="27">
        <f>INDEX('1 Volumes'!O15:O17, MATCH(Summary!$B$18,'1 Volumes'!$A15:$A17,0),1)*share_operator</f>
        <v>2379674967.6501951</v>
      </c>
      <c r="R66" s="27">
        <f>INDEX('1 Volumes'!P15:P17, MATCH(Summary!$B$18,'1 Volumes'!$A15:$A17,0),1)*share_operator</f>
        <v>2391573342.4884458</v>
      </c>
      <c r="S66" s="27">
        <f>INDEX('1 Volumes'!Q15:Q17, MATCH(Summary!$B$18,'1 Volumes'!$A15:$A17,0),1)*share_operator</f>
        <v>2403531209.2008877</v>
      </c>
      <c r="T66" s="27">
        <f>INDEX('1 Volumes'!R15:R17, MATCH(Summary!$B$18,'1 Volumes'!$A15:$A17,0),1)*share_operator</f>
        <v>2415548865.246892</v>
      </c>
      <c r="U66" s="27">
        <f>INDEX('1 Volumes'!S15:S17, MATCH(Summary!$B$18,'1 Volumes'!$A15:$A17,0),1)*share_operator</f>
        <v>2427626609.5731258</v>
      </c>
      <c r="V66" s="27">
        <f>INDEX('1 Volumes'!T15:T17, MATCH(Summary!$B$18,'1 Volumes'!$A15:$A17,0),1)*share_operator</f>
        <v>2439764742.6209912</v>
      </c>
      <c r="W66" s="27">
        <f>INDEX('1 Volumes'!U15:U17, MATCH(Summary!$B$18,'1 Volumes'!$A15:$A17,0),1)*share_operator</f>
        <v>2451963566.334096</v>
      </c>
    </row>
    <row r="67" spans="1:45" x14ac:dyDescent="0.25">
      <c r="A67" s="13" t="str">
        <f>'1 Volumes'!A19</f>
        <v>Off-net fixed to fixed traffic</v>
      </c>
      <c r="B67" s="85"/>
      <c r="D67" s="27">
        <f>INDEX('1 Volumes'!B22:B24, MATCH(Summary!$B$18,'1 Volumes'!$A22:$A24,0),1)*share_operator</f>
        <v>2553252480</v>
      </c>
      <c r="E67" s="27">
        <f>INDEX('1 Volumes'!C22:C24, MATCH(Summary!$B$18,'1 Volumes'!$A22:$A24,0),1)*share_operator</f>
        <v>2573721360</v>
      </c>
      <c r="F67" s="27">
        <f>INDEX('1 Volumes'!D22:D24, MATCH(Summary!$B$18,'1 Volumes'!$A22:$A24,0),1)*share_operator</f>
        <v>2396714400</v>
      </c>
      <c r="G67" s="27">
        <f>INDEX('1 Volumes'!E22:E24, MATCH(Summary!$B$18,'1 Volumes'!$A22:$A24,0),1)*share_operator</f>
        <v>2263898880</v>
      </c>
      <c r="H67" s="27">
        <f>INDEX('1 Volumes'!F22:F24, MATCH(Summary!$B$18,'1 Volumes'!$A22:$A24,0),1)*share_operator</f>
        <v>2275218374.3999996</v>
      </c>
      <c r="I67" s="27">
        <f>INDEX('1 Volumes'!G22:G24, MATCH(Summary!$B$18,'1 Volumes'!$A22:$A24,0),1)*share_operator</f>
        <v>2286594466.2719994</v>
      </c>
      <c r="J67" s="27">
        <f>INDEX('1 Volumes'!H22:H24, MATCH(Summary!$B$18,'1 Volumes'!$A22:$A24,0),1)*share_operator</f>
        <v>2298027438.6033592</v>
      </c>
      <c r="K67" s="27">
        <f>INDEX('1 Volumes'!I22:I24, MATCH(Summary!$B$18,'1 Volumes'!$A22:$A24,0),1)*share_operator</f>
        <v>2309517575.7963758</v>
      </c>
      <c r="L67" s="27">
        <f>INDEX('1 Volumes'!J22:J24, MATCH(Summary!$B$18,'1 Volumes'!$A22:$A24,0),1)*share_operator</f>
        <v>2321065163.6753573</v>
      </c>
      <c r="M67" s="27">
        <f>INDEX('1 Volumes'!K22:K24, MATCH(Summary!$B$18,'1 Volumes'!$A22:$A24,0),1)*share_operator</f>
        <v>2332670489.4937339</v>
      </c>
      <c r="N67" s="27">
        <f>INDEX('1 Volumes'!L22:L24, MATCH(Summary!$B$18,'1 Volumes'!$A22:$A24,0),1)*share_operator</f>
        <v>2344333841.9412022</v>
      </c>
      <c r="O67" s="27">
        <f>INDEX('1 Volumes'!M22:M24, MATCH(Summary!$B$18,'1 Volumes'!$A22:$A24,0),1)*share_operator</f>
        <v>2356055511.150908</v>
      </c>
      <c r="P67" s="27">
        <f>INDEX('1 Volumes'!N22:N24, MATCH(Summary!$B$18,'1 Volumes'!$A22:$A24,0),1)*share_operator</f>
        <v>2367835788.7066622</v>
      </c>
      <c r="Q67" s="27">
        <f>INDEX('1 Volumes'!O22:O24, MATCH(Summary!$B$18,'1 Volumes'!$A22:$A24,0),1)*share_operator</f>
        <v>2379674967.6501951</v>
      </c>
      <c r="R67" s="27">
        <f>INDEX('1 Volumes'!P22:P24, MATCH(Summary!$B$18,'1 Volumes'!$A22:$A24,0),1)*share_operator</f>
        <v>2391573342.4884458</v>
      </c>
      <c r="S67" s="27">
        <f>INDEX('1 Volumes'!Q22:Q24, MATCH(Summary!$B$18,'1 Volumes'!$A22:$A24,0),1)*share_operator</f>
        <v>2403531209.2008877</v>
      </c>
      <c r="T67" s="27">
        <f>INDEX('1 Volumes'!R22:R24, MATCH(Summary!$B$18,'1 Volumes'!$A22:$A24,0),1)*share_operator</f>
        <v>2415548865.246892</v>
      </c>
      <c r="U67" s="27">
        <f>INDEX('1 Volumes'!S22:S24, MATCH(Summary!$B$18,'1 Volumes'!$A22:$A24,0),1)*share_operator</f>
        <v>2427626609.5731258</v>
      </c>
      <c r="V67" s="27">
        <f>INDEX('1 Volumes'!T22:T24, MATCH(Summary!$B$18,'1 Volumes'!$A22:$A24,0),1)*share_operator</f>
        <v>2439764742.6209912</v>
      </c>
      <c r="W67" s="27">
        <f>INDEX('1 Volumes'!U22:U24, MATCH(Summary!$B$18,'1 Volumes'!$A22:$A24,0),1)*share_operator</f>
        <v>2451963566.334096</v>
      </c>
    </row>
    <row r="68" spans="1:45" x14ac:dyDescent="0.25">
      <c r="A68" s="13" t="str">
        <f>'1 Volumes'!A26</f>
        <v>Fixed to Mobile Telephone traffic</v>
      </c>
      <c r="B68" s="85"/>
      <c r="D68" s="27">
        <f>INDEX('1 Volumes'!B29:B31, MATCH(Summary!$B$18,'1 Volumes'!$A29:$A31,0),1)*share_operator</f>
        <v>7696335150</v>
      </c>
      <c r="E68" s="27">
        <f>INDEX('1 Volumes'!C29:C31, MATCH(Summary!$B$18,'1 Volumes'!$A29:$A31,0),1)*share_operator</f>
        <v>7494883199.999999</v>
      </c>
      <c r="F68" s="27">
        <f>INDEX('1 Volumes'!D29:D31, MATCH(Summary!$B$18,'1 Volumes'!$A29:$A31,0),1)*share_operator</f>
        <v>8673129000</v>
      </c>
      <c r="G68" s="27">
        <f>INDEX('1 Volumes'!E29:E31, MATCH(Summary!$B$18,'1 Volumes'!$A29:$A31,0),1)*share_operator</f>
        <v>8677584000</v>
      </c>
      <c r="H68" s="27">
        <f>INDEX('1 Volumes'!F29:F31, MATCH(Summary!$B$18,'1 Volumes'!$A29:$A31,0),1)*share_operator</f>
        <v>8720971919.9999981</v>
      </c>
      <c r="I68" s="27">
        <f>INDEX('1 Volumes'!G29:G31, MATCH(Summary!$B$18,'1 Volumes'!$A29:$A31,0),1)*share_operator</f>
        <v>8764576779.5999966</v>
      </c>
      <c r="J68" s="27">
        <f>INDEX('1 Volumes'!H29:H31, MATCH(Summary!$B$18,'1 Volumes'!$A29:$A31,0),1)*share_operator</f>
        <v>8808399663.4979954</v>
      </c>
      <c r="K68" s="27">
        <f>INDEX('1 Volumes'!I29:I31, MATCH(Summary!$B$18,'1 Volumes'!$A29:$A31,0),1)*share_operator</f>
        <v>8852441661.815485</v>
      </c>
      <c r="L68" s="27">
        <f>INDEX('1 Volumes'!J29:J31, MATCH(Summary!$B$18,'1 Volumes'!$A29:$A31,0),1)*share_operator</f>
        <v>8896703870.1245613</v>
      </c>
      <c r="M68" s="27">
        <f>INDEX('1 Volumes'!K29:K31, MATCH(Summary!$B$18,'1 Volumes'!$A29:$A31,0),1)*share_operator</f>
        <v>8941187389.4751816</v>
      </c>
      <c r="N68" s="27">
        <f>INDEX('1 Volumes'!L29:L31, MATCH(Summary!$B$18,'1 Volumes'!$A29:$A31,0),1)*share_operator</f>
        <v>8985893326.4225559</v>
      </c>
      <c r="O68" s="27">
        <f>INDEX('1 Volumes'!M29:M31, MATCH(Summary!$B$18,'1 Volumes'!$A29:$A31,0),1)*share_operator</f>
        <v>9030822793.0546684</v>
      </c>
      <c r="P68" s="27">
        <f>INDEX('1 Volumes'!N29:N31, MATCH(Summary!$B$18,'1 Volumes'!$A29:$A31,0),1)*share_operator</f>
        <v>9075976907.0199394</v>
      </c>
      <c r="Q68" s="27">
        <f>INDEX('1 Volumes'!O29:O31, MATCH(Summary!$B$18,'1 Volumes'!$A29:$A31,0),1)*share_operator</f>
        <v>9121356791.5550385</v>
      </c>
      <c r="R68" s="27">
        <f>INDEX('1 Volumes'!P29:P31, MATCH(Summary!$B$18,'1 Volumes'!$A29:$A31,0),1)*share_operator</f>
        <v>9166963575.5128136</v>
      </c>
      <c r="S68" s="27">
        <f>INDEX('1 Volumes'!Q29:Q31, MATCH(Summary!$B$18,'1 Volumes'!$A29:$A31,0),1)*share_operator</f>
        <v>9212798393.3903751</v>
      </c>
      <c r="T68" s="27">
        <f>INDEX('1 Volumes'!R29:R31, MATCH(Summary!$B$18,'1 Volumes'!$A29:$A31,0),1)*share_operator</f>
        <v>9258862385.3573265</v>
      </c>
      <c r="U68" s="27">
        <f>INDEX('1 Volumes'!S29:S31, MATCH(Summary!$B$18,'1 Volumes'!$A29:$A31,0),1)*share_operator</f>
        <v>9305156697.284111</v>
      </c>
      <c r="V68" s="27">
        <f>INDEX('1 Volumes'!T29:T31, MATCH(Summary!$B$18,'1 Volumes'!$A29:$A31,0),1)*share_operator</f>
        <v>9351682480.7705307</v>
      </c>
      <c r="W68" s="27">
        <f>INDEX('1 Volumes'!U29:U31, MATCH(Summary!$B$18,'1 Volumes'!$A29:$A31,0),1)*share_operator</f>
        <v>9398440893.1743832</v>
      </c>
    </row>
    <row r="69" spans="1:45" x14ac:dyDescent="0.25">
      <c r="A69" s="13" t="str">
        <f>'1 Volumes'!A33</f>
        <v>Outgoing mobile traffic to fixed networks</v>
      </c>
      <c r="B69" s="85"/>
      <c r="D69" s="27">
        <f>INDEX('1 Volumes'!B36:B38, MATCH(Summary!$B$18,'1 Volumes'!$A36:$A38,0),1)*share_operator</f>
        <v>2236474800</v>
      </c>
      <c r="E69" s="27">
        <f>INDEX('1 Volumes'!C36:C38, MATCH(Summary!$B$18,'1 Volumes'!$A36:$A38,0),1)*share_operator</f>
        <v>3103783200</v>
      </c>
      <c r="F69" s="27">
        <f>INDEX('1 Volumes'!D36:D38, MATCH(Summary!$B$18,'1 Volumes'!$A36:$A38,0),1)*share_operator</f>
        <v>3976519500</v>
      </c>
      <c r="G69" s="27">
        <f>INDEX('1 Volumes'!E36:E38, MATCH(Summary!$B$18,'1 Volumes'!$A36:$A38,0),1)*share_operator</f>
        <v>3951662400</v>
      </c>
      <c r="H69" s="27">
        <f>INDEX('1 Volumes'!F36:F38, MATCH(Summary!$B$18,'1 Volumes'!$A36:$A38,0),1)*share_operator</f>
        <v>3971420712</v>
      </c>
      <c r="I69" s="27">
        <f>INDEX('1 Volumes'!G36:G38, MATCH(Summary!$B$18,'1 Volumes'!$A36:$A38,0),1)*share_operator</f>
        <v>3991277815.5599999</v>
      </c>
      <c r="J69" s="27">
        <f>INDEX('1 Volumes'!H36:H38, MATCH(Summary!$B$18,'1 Volumes'!$A36:$A38,0),1)*share_operator</f>
        <v>4011234204.6377993</v>
      </c>
      <c r="K69" s="27">
        <f>INDEX('1 Volumes'!I36:I38, MATCH(Summary!$B$18,'1 Volumes'!$A36:$A38,0),1)*share_operator</f>
        <v>4031290375.6609874</v>
      </c>
      <c r="L69" s="27">
        <f>INDEX('1 Volumes'!J36:J38, MATCH(Summary!$B$18,'1 Volumes'!$A36:$A38,0),1)*share_operator</f>
        <v>4051446827.5392923</v>
      </c>
      <c r="M69" s="27">
        <f>INDEX('1 Volumes'!K36:K38, MATCH(Summary!$B$18,'1 Volumes'!$A36:$A38,0),1)*share_operator</f>
        <v>4071704061.6769886</v>
      </c>
      <c r="N69" s="27">
        <f>INDEX('1 Volumes'!L36:L38, MATCH(Summary!$B$18,'1 Volumes'!$A36:$A38,0),1)*share_operator</f>
        <v>4092062581.985373</v>
      </c>
      <c r="O69" s="27">
        <f>INDEX('1 Volumes'!M36:M38, MATCH(Summary!$B$18,'1 Volumes'!$A36:$A38,0),1)*share_operator</f>
        <v>4112522894.8952994</v>
      </c>
      <c r="P69" s="27">
        <f>INDEX('1 Volumes'!N36:N38, MATCH(Summary!$B$18,'1 Volumes'!$A36:$A38,0),1)*share_operator</f>
        <v>4133085509.3697753</v>
      </c>
      <c r="Q69" s="27">
        <f>INDEX('1 Volumes'!O36:O38, MATCH(Summary!$B$18,'1 Volumes'!$A36:$A38,0),1)*share_operator</f>
        <v>4153750936.9166236</v>
      </c>
      <c r="R69" s="27">
        <f>INDEX('1 Volumes'!P36:P38, MATCH(Summary!$B$18,'1 Volumes'!$A36:$A38,0),1)*share_operator</f>
        <v>4174519691.6012063</v>
      </c>
      <c r="S69" s="27">
        <f>INDEX('1 Volumes'!Q36:Q38, MATCH(Summary!$B$18,'1 Volumes'!$A36:$A38,0),1)*share_operator</f>
        <v>4195392290.0592117</v>
      </c>
      <c r="T69" s="27">
        <f>INDEX('1 Volumes'!R36:R38, MATCH(Summary!$B$18,'1 Volumes'!$A36:$A38,0),1)*share_operator</f>
        <v>4216369251.5095072</v>
      </c>
      <c r="U69" s="27">
        <f>INDEX('1 Volumes'!S36:S38, MATCH(Summary!$B$18,'1 Volumes'!$A36:$A38,0),1)*share_operator</f>
        <v>4237451097.7670536</v>
      </c>
      <c r="V69" s="27">
        <f>INDEX('1 Volumes'!T36:T38, MATCH(Summary!$B$18,'1 Volumes'!$A36:$A38,0),1)*share_operator</f>
        <v>4258638353.2558889</v>
      </c>
      <c r="W69" s="27">
        <f>INDEX('1 Volumes'!U36:U38, MATCH(Summary!$B$18,'1 Volumes'!$A36:$A38,0),1)*share_operator</f>
        <v>4279931545.0221677</v>
      </c>
    </row>
    <row r="70" spans="1:45" x14ac:dyDescent="0.25">
      <c r="A70" s="13" t="str">
        <f>'1 Volumes'!A40</f>
        <v xml:space="preserve">International incoming fixed telephone traffic </v>
      </c>
      <c r="B70" s="85"/>
      <c r="D70" s="27">
        <f>INDEX('1 Volumes'!B42:B44, MATCH(Summary!$B$18,'1 Volumes'!$A42:$A44,0),1)*share_operator</f>
        <v>340907805</v>
      </c>
      <c r="E70" s="27">
        <f>INDEX('1 Volumes'!C42:C44, MATCH(Summary!$B$18,'1 Volumes'!$A42:$A44,0),1)*share_operator</f>
        <v>199203480</v>
      </c>
      <c r="F70" s="27">
        <f>INDEX('1 Volumes'!D42:D44, MATCH(Summary!$B$18,'1 Volumes'!$A42:$A44,0),1)*share_operator</f>
        <v>139286250</v>
      </c>
      <c r="G70" s="27">
        <f>INDEX('1 Volumes'!E42:E44, MATCH(Summary!$B$18,'1 Volumes'!$A42:$A44,0),1)*share_operator</f>
        <v>64985184</v>
      </c>
      <c r="H70" s="27">
        <f>INDEX('1 Volumes'!F42:F44, MATCH(Summary!$B$18,'1 Volumes'!$A42:$A44,0),1)*share_operator</f>
        <v>65310109.920000002</v>
      </c>
      <c r="I70" s="27">
        <f>INDEX('1 Volumes'!G42:G44, MATCH(Summary!$B$18,'1 Volumes'!$A42:$A44,0),1)*share_operator</f>
        <v>65636660.469599992</v>
      </c>
      <c r="J70" s="27">
        <f>INDEX('1 Volumes'!H42:H44, MATCH(Summary!$B$18,'1 Volumes'!$A42:$A44,0),1)*share_operator</f>
        <v>65964843.77194798</v>
      </c>
      <c r="K70" s="27">
        <f>INDEX('1 Volumes'!I42:I44, MATCH(Summary!$B$18,'1 Volumes'!$A42:$A44,0),1)*share_operator</f>
        <v>66294667.990807712</v>
      </c>
      <c r="L70" s="27">
        <f>INDEX('1 Volumes'!J42:J44, MATCH(Summary!$B$18,'1 Volumes'!$A42:$A44,0),1)*share_operator</f>
        <v>66626141.330761738</v>
      </c>
      <c r="M70" s="27">
        <f>INDEX('1 Volumes'!K42:K44, MATCH(Summary!$B$18,'1 Volumes'!$A42:$A44,0),1)*share_operator</f>
        <v>66959272.037415534</v>
      </c>
      <c r="N70" s="27">
        <f>INDEX('1 Volumes'!L42:L44, MATCH(Summary!$B$18,'1 Volumes'!$A42:$A44,0),1)*share_operator</f>
        <v>67294068.397602618</v>
      </c>
      <c r="O70" s="27">
        <f>INDEX('1 Volumes'!M42:M44, MATCH(Summary!$B$18,'1 Volumes'!$A42:$A44,0),1)*share_operator</f>
        <v>67630538.739590615</v>
      </c>
      <c r="P70" s="27">
        <f>INDEX('1 Volumes'!N42:N44, MATCH(Summary!$B$18,'1 Volumes'!$A42:$A44,0),1)*share_operator</f>
        <v>67968691.433288559</v>
      </c>
      <c r="Q70" s="27">
        <f>INDEX('1 Volumes'!O42:O44, MATCH(Summary!$B$18,'1 Volumes'!$A42:$A44,0),1)*share_operator</f>
        <v>68308534.890455008</v>
      </c>
      <c r="R70" s="27">
        <f>INDEX('1 Volumes'!P42:P44, MATCH(Summary!$B$18,'1 Volumes'!$A42:$A44,0),1)*share_operator</f>
        <v>68650077.564907283</v>
      </c>
      <c r="S70" s="27">
        <f>INDEX('1 Volumes'!Q42:Q44, MATCH(Summary!$B$18,'1 Volumes'!$A42:$A44,0),1)*share_operator</f>
        <v>68993327.952731803</v>
      </c>
      <c r="T70" s="27">
        <f>INDEX('1 Volumes'!R42:R44, MATCH(Summary!$B$18,'1 Volumes'!$A42:$A44,0),1)*share_operator</f>
        <v>69338294.592495456</v>
      </c>
      <c r="U70" s="27">
        <f>INDEX('1 Volumes'!S42:S44, MATCH(Summary!$B$18,'1 Volumes'!$A42:$A44,0),1)*share_operator</f>
        <v>69684986.06545794</v>
      </c>
      <c r="V70" s="27">
        <f>INDEX('1 Volumes'!T42:T44, MATCH(Summary!$B$18,'1 Volumes'!$A42:$A44,0),1)*share_operator</f>
        <v>70033410.995785207</v>
      </c>
      <c r="W70" s="27">
        <f>INDEX('1 Volumes'!U42:U44, MATCH(Summary!$B$18,'1 Volumes'!$A42:$A44,0),1)*share_operator</f>
        <v>70383578.050764129</v>
      </c>
    </row>
    <row r="71" spans="1:45" x14ac:dyDescent="0.25">
      <c r="A71" s="13" t="str">
        <f>'1 Volumes'!A46</f>
        <v>International outgoing fixed telephone traffic</v>
      </c>
      <c r="B71" s="85"/>
      <c r="D71" s="27">
        <f>INDEX('1 Volumes'!B48:B50, MATCH(Summary!$B$18,'1 Volumes'!$A48:$A50,0),1)*share_operator</f>
        <v>336813120</v>
      </c>
      <c r="E71" s="27">
        <f>INDEX('1 Volumes'!C48:C50, MATCH(Summary!$B$18,'1 Volumes'!$A48:$A50,0),1)*share_operator</f>
        <v>100567908</v>
      </c>
      <c r="F71" s="27">
        <f>INDEX('1 Volumes'!D48:D50, MATCH(Summary!$B$18,'1 Volumes'!$A48:$A50,0),1)*share_operator</f>
        <v>110180925</v>
      </c>
      <c r="G71" s="27">
        <f>INDEX('1 Volumes'!E48:E50, MATCH(Summary!$B$18,'1 Volumes'!$A48:$A50,0),1)*share_operator</f>
        <v>93504384</v>
      </c>
      <c r="H71" s="27">
        <f>INDEX('1 Volumes'!F48:F50, MATCH(Summary!$B$18,'1 Volumes'!$A48:$A50,0),1)*share_operator</f>
        <v>93971905.919999987</v>
      </c>
      <c r="I71" s="27">
        <f>INDEX('1 Volumes'!G48:G50, MATCH(Summary!$B$18,'1 Volumes'!$A48:$A50,0),1)*share_operator</f>
        <v>94441765.449599981</v>
      </c>
      <c r="J71" s="27">
        <f>INDEX('1 Volumes'!H48:H50, MATCH(Summary!$B$18,'1 Volumes'!$A48:$A50,0),1)*share_operator</f>
        <v>94913974.276847973</v>
      </c>
      <c r="K71" s="27">
        <f>INDEX('1 Volumes'!I48:I50, MATCH(Summary!$B$18,'1 Volumes'!$A48:$A50,0),1)*share_operator</f>
        <v>95388544.148232192</v>
      </c>
      <c r="L71" s="27">
        <f>INDEX('1 Volumes'!J48:J50, MATCH(Summary!$B$18,'1 Volumes'!$A48:$A50,0),1)*share_operator</f>
        <v>95865486.868973359</v>
      </c>
      <c r="M71" s="27">
        <f>INDEX('1 Volumes'!K48:K50, MATCH(Summary!$B$18,'1 Volumes'!$A48:$A50,0),1)*share_operator</f>
        <v>96344814.303318202</v>
      </c>
      <c r="N71" s="27">
        <f>INDEX('1 Volumes'!L48:L50, MATCH(Summary!$B$18,'1 Volumes'!$A48:$A50,0),1)*share_operator</f>
        <v>96826538.374834791</v>
      </c>
      <c r="O71" s="27">
        <f>INDEX('1 Volumes'!M48:M50, MATCH(Summary!$B$18,'1 Volumes'!$A48:$A50,0),1)*share_operator</f>
        <v>97310671.066708952</v>
      </c>
      <c r="P71" s="27">
        <f>INDEX('1 Volumes'!N48:N50, MATCH(Summary!$B$18,'1 Volumes'!$A48:$A50,0),1)*share_operator</f>
        <v>97797224.422042474</v>
      </c>
      <c r="Q71" s="27">
        <f>INDEX('1 Volumes'!O48:O50, MATCH(Summary!$B$18,'1 Volumes'!$A48:$A50,0),1)*share_operator</f>
        <v>98286210.544152692</v>
      </c>
      <c r="R71" s="27">
        <f>INDEX('1 Volumes'!P48:P50, MATCH(Summary!$B$18,'1 Volumes'!$A48:$A50,0),1)*share_operator</f>
        <v>98777641.596873432</v>
      </c>
      <c r="S71" s="27">
        <f>INDEX('1 Volumes'!Q48:Q50, MATCH(Summary!$B$18,'1 Volumes'!$A48:$A50,0),1)*share_operator</f>
        <v>99271529.80485779</v>
      </c>
      <c r="T71" s="27">
        <f>INDEX('1 Volumes'!R48:R50, MATCH(Summary!$B$18,'1 Volumes'!$A48:$A50,0),1)*share_operator</f>
        <v>99767887.453882068</v>
      </c>
      <c r="U71" s="27">
        <f>INDEX('1 Volumes'!S48:S50, MATCH(Summary!$B$18,'1 Volumes'!$A48:$A50,0),1)*share_operator</f>
        <v>100266726.89115147</v>
      </c>
      <c r="V71" s="27">
        <f>INDEX('1 Volumes'!T48:T50, MATCH(Summary!$B$18,'1 Volumes'!$A48:$A50,0),1)*share_operator</f>
        <v>100768060.52560721</v>
      </c>
      <c r="W71" s="27">
        <f>INDEX('1 Volumes'!U48:U50, MATCH(Summary!$B$18,'1 Volumes'!$A48:$A50,0),1)*share_operator</f>
        <v>101271900.82823524</v>
      </c>
    </row>
    <row r="72" spans="1:45" x14ac:dyDescent="0.25">
      <c r="A72" s="16" t="s">
        <v>90</v>
      </c>
      <c r="B72" s="85"/>
      <c r="K72" s="82"/>
      <c r="L72" s="82"/>
      <c r="M72" s="82"/>
      <c r="N72" s="82"/>
      <c r="O72" s="82"/>
      <c r="X72" s="16" t="s">
        <v>91</v>
      </c>
    </row>
    <row r="74" spans="1:45" s="50" customFormat="1" x14ac:dyDescent="0.25">
      <c r="A74" s="49" t="s">
        <v>92</v>
      </c>
    </row>
    <row r="76" spans="1:45" x14ac:dyDescent="0.25">
      <c r="A76" s="13" t="s">
        <v>93</v>
      </c>
      <c r="Z76" s="49" t="s">
        <v>89</v>
      </c>
      <c r="AA76" s="50"/>
      <c r="AB76" s="50"/>
      <c r="AC76" s="50"/>
      <c r="AD76" s="50"/>
      <c r="AE76" s="50"/>
      <c r="AF76" s="50"/>
      <c r="AG76" s="50"/>
      <c r="AH76" s="50"/>
      <c r="AI76" s="50"/>
      <c r="AJ76" s="50"/>
      <c r="AK76" s="50"/>
      <c r="AL76" s="50"/>
      <c r="AM76" s="50"/>
      <c r="AN76" s="50"/>
      <c r="AO76" s="50"/>
      <c r="AP76" s="50"/>
      <c r="AQ76" s="50"/>
      <c r="AR76" s="50"/>
      <c r="AS76" s="50"/>
    </row>
    <row r="77" spans="1:45" x14ac:dyDescent="0.25">
      <c r="A77" s="85"/>
      <c r="B77" s="84"/>
    </row>
    <row r="78" spans="1:45" s="85" customFormat="1" x14ac:dyDescent="0.25">
      <c r="A78" s="88"/>
      <c r="B78" s="84"/>
      <c r="D78" s="53" cm="1">
        <f t="array" ref="D78:W78">years</f>
        <v>2018</v>
      </c>
      <c r="E78" s="53">
        <v>2019</v>
      </c>
      <c r="F78" s="53">
        <v>2020</v>
      </c>
      <c r="G78" s="53">
        <v>2021</v>
      </c>
      <c r="H78" s="53">
        <v>2022</v>
      </c>
      <c r="I78" s="53">
        <v>2023</v>
      </c>
      <c r="J78" s="53">
        <v>2024</v>
      </c>
      <c r="K78" s="53">
        <v>2025</v>
      </c>
      <c r="L78" s="53">
        <v>2026</v>
      </c>
      <c r="M78" s="53">
        <v>2027</v>
      </c>
      <c r="N78" s="53">
        <v>2028</v>
      </c>
      <c r="O78" s="53">
        <v>2029</v>
      </c>
      <c r="P78" s="53">
        <v>2030</v>
      </c>
      <c r="Q78" s="53">
        <v>2031</v>
      </c>
      <c r="R78" s="53">
        <v>2032</v>
      </c>
      <c r="S78" s="53">
        <v>2033</v>
      </c>
      <c r="T78" s="53">
        <v>2034</v>
      </c>
      <c r="U78" s="53">
        <v>2035</v>
      </c>
      <c r="V78" s="53">
        <v>2036</v>
      </c>
      <c r="W78" s="53">
        <v>2037</v>
      </c>
      <c r="Z78" s="53" cm="1">
        <f t="array" ref="Z78:AS78">years</f>
        <v>2018</v>
      </c>
      <c r="AA78" s="53">
        <v>2019</v>
      </c>
      <c r="AB78" s="53">
        <v>2020</v>
      </c>
      <c r="AC78" s="53">
        <v>2021</v>
      </c>
      <c r="AD78" s="53">
        <v>2022</v>
      </c>
      <c r="AE78" s="53">
        <v>2023</v>
      </c>
      <c r="AF78" s="53">
        <v>2024</v>
      </c>
      <c r="AG78" s="53">
        <v>2025</v>
      </c>
      <c r="AH78" s="53">
        <v>2026</v>
      </c>
      <c r="AI78" s="53">
        <v>2027</v>
      </c>
      <c r="AJ78" s="53">
        <v>2028</v>
      </c>
      <c r="AK78" s="53">
        <v>2029</v>
      </c>
      <c r="AL78" s="53">
        <v>2030</v>
      </c>
      <c r="AM78" s="53">
        <v>2031</v>
      </c>
      <c r="AN78" s="53">
        <v>2032</v>
      </c>
      <c r="AO78" s="53">
        <v>2033</v>
      </c>
      <c r="AP78" s="53">
        <v>2034</v>
      </c>
      <c r="AQ78" s="53">
        <v>2035</v>
      </c>
      <c r="AR78" s="53">
        <v>2036</v>
      </c>
      <c r="AS78" s="53">
        <v>2037</v>
      </c>
    </row>
    <row r="79" spans="1:45" x14ac:dyDescent="0.25">
      <c r="A79" s="13" t="str" cm="1">
        <f t="array" ref="A79:A85">fixed_services</f>
        <v>On-net fixed to fixed traffic</v>
      </c>
      <c r="B79" s="19"/>
      <c r="D79" s="72" cm="1">
        <f t="array" ref="D79:W85">fixed_minutes*busy_hour_perc</f>
        <v>1075385.7536676924</v>
      </c>
      <c r="E79" s="236">
        <v>1084006.8916546155</v>
      </c>
      <c r="F79" s="236">
        <v>1009454.6236846155</v>
      </c>
      <c r="G79" s="236">
        <v>953515.02539076924</v>
      </c>
      <c r="H79" s="236">
        <v>958282.60051772301</v>
      </c>
      <c r="I79" s="236">
        <v>963074.01352031145</v>
      </c>
      <c r="J79" s="236">
        <v>967889.38358791301</v>
      </c>
      <c r="K79" s="72">
        <v>972728.83050585235</v>
      </c>
      <c r="L79" s="72">
        <v>977592.47465838154</v>
      </c>
      <c r="M79" s="72">
        <v>982480.43703167327</v>
      </c>
      <c r="N79" s="72">
        <v>987392.83921683161</v>
      </c>
      <c r="O79" s="72">
        <v>992329.80341291556</v>
      </c>
      <c r="P79" s="72">
        <v>997291.45242998004</v>
      </c>
      <c r="Q79" s="72">
        <v>1002277.9096921298</v>
      </c>
      <c r="R79" s="72">
        <v>1007289.2992405904</v>
      </c>
      <c r="S79" s="72">
        <v>1012325.7457367933</v>
      </c>
      <c r="T79" s="72">
        <v>1017387.3744654772</v>
      </c>
      <c r="U79" s="72">
        <v>1022474.3113378044</v>
      </c>
      <c r="V79" s="72">
        <v>1027586.6828944935</v>
      </c>
      <c r="W79" s="72">
        <v>1032724.6163089657</v>
      </c>
    </row>
    <row r="80" spans="1:45" x14ac:dyDescent="0.25">
      <c r="A80" s="13" t="str">
        <v>Incoming fixed to fixed traffic</v>
      </c>
      <c r="B80" s="19"/>
      <c r="D80" s="27">
        <v>716923.83577846154</v>
      </c>
      <c r="E80" s="237">
        <v>722671.26110307698</v>
      </c>
      <c r="F80" s="237">
        <v>672969.74912307691</v>
      </c>
      <c r="G80" s="237">
        <v>635676.68359384616</v>
      </c>
      <c r="H80" s="237">
        <v>638855.06701181526</v>
      </c>
      <c r="I80" s="237">
        <v>642049.3423468743</v>
      </c>
      <c r="J80" s="237">
        <v>645259.58905860863</v>
      </c>
      <c r="K80" s="27">
        <v>648485.88700390165</v>
      </c>
      <c r="L80" s="27">
        <v>651728.31643892103</v>
      </c>
      <c r="M80" s="27">
        <v>654986.95802111563</v>
      </c>
      <c r="N80" s="27">
        <v>658261.89281122107</v>
      </c>
      <c r="O80" s="27">
        <v>661553.20227527712</v>
      </c>
      <c r="P80" s="27">
        <v>664860.9682866534</v>
      </c>
      <c r="Q80" s="27">
        <v>668185.27312808658</v>
      </c>
      <c r="R80" s="27">
        <v>671526.19949372683</v>
      </c>
      <c r="S80" s="27">
        <v>674883.83049119543</v>
      </c>
      <c r="T80" s="27">
        <v>678258.24964365142</v>
      </c>
      <c r="U80" s="27">
        <v>681649.54089186946</v>
      </c>
      <c r="V80" s="27">
        <v>685057.7885963287</v>
      </c>
      <c r="W80" s="27">
        <v>688483.07753931032</v>
      </c>
    </row>
    <row r="81" spans="1:24" x14ac:dyDescent="0.25">
      <c r="A81" s="13" t="str">
        <v>Off-net fixed to fixed traffic</v>
      </c>
      <c r="B81" s="19"/>
      <c r="D81" s="139">
        <v>716923.83577846154</v>
      </c>
      <c r="E81" s="141">
        <v>722671.26110307698</v>
      </c>
      <c r="F81" s="141">
        <v>672969.74912307691</v>
      </c>
      <c r="G81" s="141">
        <v>635676.68359384616</v>
      </c>
      <c r="H81" s="141">
        <v>638855.06701181526</v>
      </c>
      <c r="I81" s="141">
        <v>642049.3423468743</v>
      </c>
      <c r="J81" s="141">
        <v>645259.58905860863</v>
      </c>
      <c r="K81" s="139">
        <v>648485.88700390165</v>
      </c>
      <c r="L81" s="139">
        <v>651728.31643892103</v>
      </c>
      <c r="M81" s="139">
        <v>654986.95802111563</v>
      </c>
      <c r="N81" s="139">
        <v>658261.89281122107</v>
      </c>
      <c r="O81" s="139">
        <v>661553.20227527712</v>
      </c>
      <c r="P81" s="139">
        <v>664860.9682866534</v>
      </c>
      <c r="Q81" s="139">
        <v>668185.27312808658</v>
      </c>
      <c r="R81" s="139">
        <v>671526.19949372683</v>
      </c>
      <c r="S81" s="139">
        <v>674883.83049119543</v>
      </c>
      <c r="T81" s="139">
        <v>678258.24964365142</v>
      </c>
      <c r="U81" s="139">
        <v>681649.54089186946</v>
      </c>
      <c r="V81" s="139">
        <v>685057.7885963287</v>
      </c>
      <c r="W81" s="139">
        <v>688483.07753931032</v>
      </c>
    </row>
    <row r="82" spans="1:24" x14ac:dyDescent="0.25">
      <c r="A82" s="13" t="str">
        <v>Fixed to Mobile Telephone traffic</v>
      </c>
      <c r="B82" s="19"/>
      <c r="D82" s="139">
        <v>2161042.1062528845</v>
      </c>
      <c r="E82" s="141">
        <v>2104476.7231384614</v>
      </c>
      <c r="F82" s="141">
        <v>2435314.5486346157</v>
      </c>
      <c r="G82" s="141">
        <v>2436565.4612307693</v>
      </c>
      <c r="H82" s="141">
        <v>2448748.2885369225</v>
      </c>
      <c r="I82" s="141">
        <v>2460992.0299796066</v>
      </c>
      <c r="J82" s="141">
        <v>2473296.9901295044</v>
      </c>
      <c r="K82" s="139">
        <v>2485663.475080152</v>
      </c>
      <c r="L82" s="139">
        <v>2498091.7924555526</v>
      </c>
      <c r="M82" s="139">
        <v>2510582.2514178297</v>
      </c>
      <c r="N82" s="139">
        <v>2523135.1626749183</v>
      </c>
      <c r="O82" s="139">
        <v>2535750.8384882929</v>
      </c>
      <c r="P82" s="139">
        <v>2548429.5926807337</v>
      </c>
      <c r="Q82" s="139">
        <v>2561171.7406441369</v>
      </c>
      <c r="R82" s="139">
        <v>2573977.5993473576</v>
      </c>
      <c r="S82" s="139">
        <v>2586847.4873440936</v>
      </c>
      <c r="T82" s="139">
        <v>2599781.7247808143</v>
      </c>
      <c r="U82" s="139">
        <v>2612780.6334047173</v>
      </c>
      <c r="V82" s="139">
        <v>2625844.5365717406</v>
      </c>
      <c r="W82" s="139">
        <v>2638973.7592545995</v>
      </c>
    </row>
    <row r="83" spans="1:24" x14ac:dyDescent="0.25">
      <c r="A83" s="13" t="str">
        <v>Outgoing mobile traffic to fixed networks</v>
      </c>
      <c r="B83" s="19"/>
      <c r="D83" s="139">
        <v>627976.31836153846</v>
      </c>
      <c r="E83" s="141">
        <v>871506.50967692316</v>
      </c>
      <c r="F83" s="141">
        <v>1116560.7926826924</v>
      </c>
      <c r="G83" s="141">
        <v>1109581.2058153846</v>
      </c>
      <c r="H83" s="141">
        <v>1115129.1118444616</v>
      </c>
      <c r="I83" s="141">
        <v>1120704.7574036838</v>
      </c>
      <c r="J83" s="141">
        <v>1126308.2811907022</v>
      </c>
      <c r="K83" s="139">
        <v>1131939.8225966555</v>
      </c>
      <c r="L83" s="139">
        <v>1137599.5217096386</v>
      </c>
      <c r="M83" s="139">
        <v>1143287.5193181869</v>
      </c>
      <c r="N83" s="139">
        <v>1149003.9569147776</v>
      </c>
      <c r="O83" s="139">
        <v>1154748.9766993513</v>
      </c>
      <c r="P83" s="139">
        <v>1160522.7215828479</v>
      </c>
      <c r="Q83" s="139">
        <v>1166325.3351907621</v>
      </c>
      <c r="R83" s="139">
        <v>1172156.9618667157</v>
      </c>
      <c r="S83" s="139">
        <v>1178017.7466760492</v>
      </c>
      <c r="T83" s="139">
        <v>1183907.8354094292</v>
      </c>
      <c r="U83" s="139">
        <v>1189827.374586476</v>
      </c>
      <c r="V83" s="139">
        <v>1195776.5114594083</v>
      </c>
      <c r="W83" s="139">
        <v>1201755.3940167052</v>
      </c>
    </row>
    <row r="84" spans="1:24" x14ac:dyDescent="0.25">
      <c r="A84" s="13" t="str">
        <v xml:space="preserve">International incoming fixed telephone traffic </v>
      </c>
      <c r="B84" s="19"/>
      <c r="D84" s="139">
        <v>95722.97809240385</v>
      </c>
      <c r="E84" s="141">
        <v>55934.038682307691</v>
      </c>
      <c r="F84" s="141">
        <v>39109.971850961541</v>
      </c>
      <c r="G84" s="141">
        <v>18247.089838153846</v>
      </c>
      <c r="H84" s="141">
        <v>18338.325287344618</v>
      </c>
      <c r="I84" s="141">
        <v>18430.016913781335</v>
      </c>
      <c r="J84" s="141">
        <v>18522.16699835024</v>
      </c>
      <c r="K84" s="139">
        <v>18614.777833341988</v>
      </c>
      <c r="L84" s="139">
        <v>18707.851722508694</v>
      </c>
      <c r="M84" s="139">
        <v>18801.390981121236</v>
      </c>
      <c r="N84" s="139">
        <v>18895.397936026842</v>
      </c>
      <c r="O84" s="139">
        <v>18989.874925706972</v>
      </c>
      <c r="P84" s="139">
        <v>19084.824300335506</v>
      </c>
      <c r="Q84" s="139">
        <v>19180.248421837186</v>
      </c>
      <c r="R84" s="139">
        <v>19276.149663946369</v>
      </c>
      <c r="S84" s="139">
        <v>19372.530412266096</v>
      </c>
      <c r="T84" s="139">
        <v>19469.393064327425</v>
      </c>
      <c r="U84" s="139">
        <v>19566.740029649067</v>
      </c>
      <c r="V84" s="139">
        <v>19664.573729797306</v>
      </c>
      <c r="W84" s="139">
        <v>19762.896598446288</v>
      </c>
    </row>
    <row r="85" spans="1:24" x14ac:dyDescent="0.25">
      <c r="A85" s="13" t="str">
        <v>International outgoing fixed telephone traffic</v>
      </c>
      <c r="B85" s="84"/>
      <c r="D85" s="27">
        <v>94573.237790769228</v>
      </c>
      <c r="E85" s="27">
        <v>28238.308167461539</v>
      </c>
      <c r="F85" s="27">
        <v>30937.532421634616</v>
      </c>
      <c r="G85" s="27">
        <v>26254.952130461541</v>
      </c>
      <c r="H85" s="27">
        <v>26386.226891113845</v>
      </c>
      <c r="I85" s="27">
        <v>26518.15802556941</v>
      </c>
      <c r="J85" s="27">
        <v>26650.748815697258</v>
      </c>
      <c r="K85" s="27">
        <v>26784.002559775738</v>
      </c>
      <c r="L85" s="27">
        <v>26917.922572574618</v>
      </c>
      <c r="M85" s="27">
        <v>27052.512185437485</v>
      </c>
      <c r="N85" s="27">
        <v>27187.77474636467</v>
      </c>
      <c r="O85" s="27">
        <v>27323.713620096489</v>
      </c>
      <c r="P85" s="27">
        <v>27460.332188196968</v>
      </c>
      <c r="Q85" s="27">
        <v>27597.633849137954</v>
      </c>
      <c r="R85" s="27">
        <v>27735.622018383634</v>
      </c>
      <c r="S85" s="27">
        <v>27874.300128475552</v>
      </c>
      <c r="T85" s="27">
        <v>28013.671629117925</v>
      </c>
      <c r="U85" s="27">
        <v>28153.739987263514</v>
      </c>
      <c r="V85" s="27">
        <v>28294.508687199828</v>
      </c>
      <c r="W85" s="27">
        <v>28435.981230635822</v>
      </c>
    </row>
    <row r="86" spans="1:24" x14ac:dyDescent="0.25">
      <c r="A86" s="22"/>
      <c r="B86" s="84"/>
      <c r="X86" s="16" t="s">
        <v>94</v>
      </c>
    </row>
    <row r="87" spans="1:24" x14ac:dyDescent="0.25">
      <c r="A87" s="13" t="s">
        <v>95</v>
      </c>
      <c r="B87" s="84"/>
      <c r="X87" s="16"/>
    </row>
    <row r="88" spans="1:24" x14ac:dyDescent="0.25">
      <c r="A88" s="22"/>
      <c r="B88" s="84"/>
      <c r="X88" s="16"/>
    </row>
    <row r="89" spans="1:24" x14ac:dyDescent="0.25">
      <c r="A89" s="22"/>
      <c r="B89" s="84"/>
      <c r="D89" s="53" cm="1">
        <f t="array" ref="D89:W89">years</f>
        <v>2018</v>
      </c>
      <c r="E89" s="53">
        <v>2019</v>
      </c>
      <c r="F89" s="53">
        <v>2020</v>
      </c>
      <c r="G89" s="53">
        <v>2021</v>
      </c>
      <c r="H89" s="53">
        <v>2022</v>
      </c>
      <c r="I89" s="53">
        <v>2023</v>
      </c>
      <c r="J89" s="53">
        <v>2024</v>
      </c>
      <c r="K89" s="53">
        <v>2025</v>
      </c>
      <c r="L89" s="53">
        <v>2026</v>
      </c>
      <c r="M89" s="53">
        <v>2027</v>
      </c>
      <c r="N89" s="53">
        <v>2028</v>
      </c>
      <c r="O89" s="53">
        <v>2029</v>
      </c>
      <c r="P89" s="53">
        <v>2030</v>
      </c>
      <c r="Q89" s="53">
        <v>2031</v>
      </c>
      <c r="R89" s="53">
        <v>2032</v>
      </c>
      <c r="S89" s="53">
        <v>2033</v>
      </c>
      <c r="T89" s="53">
        <v>2034</v>
      </c>
      <c r="U89" s="53">
        <v>2035</v>
      </c>
      <c r="V89" s="53">
        <v>2036</v>
      </c>
      <c r="W89" s="53">
        <v>2037</v>
      </c>
      <c r="X89" s="16"/>
    </row>
    <row r="90" spans="1:24" x14ac:dyDescent="0.25">
      <c r="A90" s="13" t="str" cm="1">
        <f t="array" ref="A90:A96">fixed_services</f>
        <v>On-net fixed to fixed traffic</v>
      </c>
      <c r="B90" s="84"/>
      <c r="D90" s="27">
        <f t="shared" ref="D90:W90" si="0">D79*onnet_factor</f>
        <v>2150771.5073353848</v>
      </c>
      <c r="E90" s="27">
        <f t="shared" si="0"/>
        <v>2168013.783309231</v>
      </c>
      <c r="F90" s="27">
        <f t="shared" si="0"/>
        <v>2018909.247369231</v>
      </c>
      <c r="G90" s="27">
        <f t="shared" si="0"/>
        <v>1907030.0507815385</v>
      </c>
      <c r="H90" s="27">
        <f t="shared" si="0"/>
        <v>1916565.201035446</v>
      </c>
      <c r="I90" s="27">
        <f t="shared" si="0"/>
        <v>1926148.0270406229</v>
      </c>
      <c r="J90" s="27">
        <f t="shared" si="0"/>
        <v>1935778.767175826</v>
      </c>
      <c r="K90" s="27">
        <f t="shared" si="0"/>
        <v>1945457.6610117047</v>
      </c>
      <c r="L90" s="27">
        <f t="shared" si="0"/>
        <v>1955184.9493167631</v>
      </c>
      <c r="M90" s="27">
        <f t="shared" si="0"/>
        <v>1964960.8740633465</v>
      </c>
      <c r="N90" s="27">
        <f t="shared" si="0"/>
        <v>1974785.6784336632</v>
      </c>
      <c r="O90" s="27">
        <f t="shared" si="0"/>
        <v>1984659.6068258311</v>
      </c>
      <c r="P90" s="27">
        <f t="shared" si="0"/>
        <v>1994582.9048599601</v>
      </c>
      <c r="Q90" s="27">
        <f t="shared" si="0"/>
        <v>2004555.8193842596</v>
      </c>
      <c r="R90" s="27">
        <f t="shared" si="0"/>
        <v>2014578.5984811808</v>
      </c>
      <c r="S90" s="27">
        <f t="shared" si="0"/>
        <v>2024651.4914735865</v>
      </c>
      <c r="T90" s="27">
        <f t="shared" si="0"/>
        <v>2034774.7489309544</v>
      </c>
      <c r="U90" s="27">
        <f t="shared" si="0"/>
        <v>2044948.6226756088</v>
      </c>
      <c r="V90" s="27">
        <f t="shared" si="0"/>
        <v>2055173.3657889869</v>
      </c>
      <c r="W90" s="27">
        <f t="shared" si="0"/>
        <v>2065449.2326179314</v>
      </c>
      <c r="X90" s="16"/>
    </row>
    <row r="91" spans="1:24" x14ac:dyDescent="0.25">
      <c r="A91" s="13" t="str">
        <v>Incoming fixed to fixed traffic</v>
      </c>
      <c r="B91" s="84"/>
      <c r="D91" s="27">
        <f t="shared" ref="D91:W91" si="1">D80</f>
        <v>716923.83577846154</v>
      </c>
      <c r="E91" s="27">
        <f t="shared" si="1"/>
        <v>722671.26110307698</v>
      </c>
      <c r="F91" s="27">
        <f t="shared" si="1"/>
        <v>672969.74912307691</v>
      </c>
      <c r="G91" s="27">
        <f t="shared" si="1"/>
        <v>635676.68359384616</v>
      </c>
      <c r="H91" s="27">
        <f t="shared" si="1"/>
        <v>638855.06701181526</v>
      </c>
      <c r="I91" s="27">
        <f t="shared" si="1"/>
        <v>642049.3423468743</v>
      </c>
      <c r="J91" s="27">
        <f t="shared" si="1"/>
        <v>645259.58905860863</v>
      </c>
      <c r="K91" s="27">
        <f t="shared" si="1"/>
        <v>648485.88700390165</v>
      </c>
      <c r="L91" s="27">
        <f t="shared" si="1"/>
        <v>651728.31643892103</v>
      </c>
      <c r="M91" s="27">
        <f t="shared" si="1"/>
        <v>654986.95802111563</v>
      </c>
      <c r="N91" s="27">
        <f t="shared" si="1"/>
        <v>658261.89281122107</v>
      </c>
      <c r="O91" s="27">
        <f t="shared" si="1"/>
        <v>661553.20227527712</v>
      </c>
      <c r="P91" s="27">
        <f t="shared" si="1"/>
        <v>664860.9682866534</v>
      </c>
      <c r="Q91" s="27">
        <f t="shared" si="1"/>
        <v>668185.27312808658</v>
      </c>
      <c r="R91" s="27">
        <f t="shared" si="1"/>
        <v>671526.19949372683</v>
      </c>
      <c r="S91" s="27">
        <f t="shared" si="1"/>
        <v>674883.83049119543</v>
      </c>
      <c r="T91" s="27">
        <f t="shared" si="1"/>
        <v>678258.24964365142</v>
      </c>
      <c r="U91" s="27">
        <f t="shared" si="1"/>
        <v>681649.54089186946</v>
      </c>
      <c r="V91" s="27">
        <f t="shared" si="1"/>
        <v>685057.7885963287</v>
      </c>
      <c r="W91" s="27">
        <f t="shared" si="1"/>
        <v>688483.07753931032</v>
      </c>
      <c r="X91" s="16"/>
    </row>
    <row r="92" spans="1:24" x14ac:dyDescent="0.25">
      <c r="A92" s="13" t="str">
        <v>Off-net fixed to fixed traffic</v>
      </c>
      <c r="B92" s="84"/>
      <c r="D92" s="27">
        <f t="shared" ref="D92:W92" si="2">D81</f>
        <v>716923.83577846154</v>
      </c>
      <c r="E92" s="27">
        <f t="shared" si="2"/>
        <v>722671.26110307698</v>
      </c>
      <c r="F92" s="27">
        <f t="shared" si="2"/>
        <v>672969.74912307691</v>
      </c>
      <c r="G92" s="27">
        <f t="shared" si="2"/>
        <v>635676.68359384616</v>
      </c>
      <c r="H92" s="27">
        <f t="shared" si="2"/>
        <v>638855.06701181526</v>
      </c>
      <c r="I92" s="27">
        <f t="shared" si="2"/>
        <v>642049.3423468743</v>
      </c>
      <c r="J92" s="27">
        <f t="shared" si="2"/>
        <v>645259.58905860863</v>
      </c>
      <c r="K92" s="27">
        <f t="shared" si="2"/>
        <v>648485.88700390165</v>
      </c>
      <c r="L92" s="27">
        <f t="shared" si="2"/>
        <v>651728.31643892103</v>
      </c>
      <c r="M92" s="27">
        <f t="shared" si="2"/>
        <v>654986.95802111563</v>
      </c>
      <c r="N92" s="27">
        <f t="shared" si="2"/>
        <v>658261.89281122107</v>
      </c>
      <c r="O92" s="27">
        <f t="shared" si="2"/>
        <v>661553.20227527712</v>
      </c>
      <c r="P92" s="27">
        <f t="shared" si="2"/>
        <v>664860.9682866534</v>
      </c>
      <c r="Q92" s="27">
        <f t="shared" si="2"/>
        <v>668185.27312808658</v>
      </c>
      <c r="R92" s="27">
        <f t="shared" si="2"/>
        <v>671526.19949372683</v>
      </c>
      <c r="S92" s="27">
        <f t="shared" si="2"/>
        <v>674883.83049119543</v>
      </c>
      <c r="T92" s="27">
        <f t="shared" si="2"/>
        <v>678258.24964365142</v>
      </c>
      <c r="U92" s="27">
        <f t="shared" si="2"/>
        <v>681649.54089186946</v>
      </c>
      <c r="V92" s="27">
        <f t="shared" si="2"/>
        <v>685057.7885963287</v>
      </c>
      <c r="W92" s="27">
        <f t="shared" si="2"/>
        <v>688483.07753931032</v>
      </c>
      <c r="X92" s="16"/>
    </row>
    <row r="93" spans="1:24" x14ac:dyDescent="0.25">
      <c r="A93" s="13" t="str">
        <v>Fixed to Mobile Telephone traffic</v>
      </c>
      <c r="B93" s="84"/>
      <c r="D93" s="27">
        <f t="shared" ref="D93:W93" si="3">D82</f>
        <v>2161042.1062528845</v>
      </c>
      <c r="E93" s="27">
        <f t="shared" si="3"/>
        <v>2104476.7231384614</v>
      </c>
      <c r="F93" s="27">
        <f t="shared" si="3"/>
        <v>2435314.5486346157</v>
      </c>
      <c r="G93" s="27">
        <f t="shared" si="3"/>
        <v>2436565.4612307693</v>
      </c>
      <c r="H93" s="27">
        <f t="shared" si="3"/>
        <v>2448748.2885369225</v>
      </c>
      <c r="I93" s="27">
        <f t="shared" si="3"/>
        <v>2460992.0299796066</v>
      </c>
      <c r="J93" s="27">
        <f t="shared" si="3"/>
        <v>2473296.9901295044</v>
      </c>
      <c r="K93" s="27">
        <f t="shared" si="3"/>
        <v>2485663.475080152</v>
      </c>
      <c r="L93" s="27">
        <f t="shared" si="3"/>
        <v>2498091.7924555526</v>
      </c>
      <c r="M93" s="27">
        <f t="shared" si="3"/>
        <v>2510582.2514178297</v>
      </c>
      <c r="N93" s="27">
        <f t="shared" si="3"/>
        <v>2523135.1626749183</v>
      </c>
      <c r="O93" s="27">
        <f t="shared" si="3"/>
        <v>2535750.8384882929</v>
      </c>
      <c r="P93" s="27">
        <f t="shared" si="3"/>
        <v>2548429.5926807337</v>
      </c>
      <c r="Q93" s="27">
        <f t="shared" si="3"/>
        <v>2561171.7406441369</v>
      </c>
      <c r="R93" s="27">
        <f t="shared" si="3"/>
        <v>2573977.5993473576</v>
      </c>
      <c r="S93" s="27">
        <f t="shared" si="3"/>
        <v>2586847.4873440936</v>
      </c>
      <c r="T93" s="27">
        <f t="shared" si="3"/>
        <v>2599781.7247808143</v>
      </c>
      <c r="U93" s="27">
        <f t="shared" si="3"/>
        <v>2612780.6334047173</v>
      </c>
      <c r="V93" s="27">
        <f t="shared" si="3"/>
        <v>2625844.5365717406</v>
      </c>
      <c r="W93" s="27">
        <f t="shared" si="3"/>
        <v>2638973.7592545995</v>
      </c>
      <c r="X93" s="16"/>
    </row>
    <row r="94" spans="1:24" x14ac:dyDescent="0.25">
      <c r="A94" s="13" t="str">
        <v>Outgoing mobile traffic to fixed networks</v>
      </c>
      <c r="B94" s="84"/>
      <c r="D94" s="27">
        <f t="shared" ref="D94:W94" si="4">D83</f>
        <v>627976.31836153846</v>
      </c>
      <c r="E94" s="27">
        <f t="shared" si="4"/>
        <v>871506.50967692316</v>
      </c>
      <c r="F94" s="27">
        <f t="shared" si="4"/>
        <v>1116560.7926826924</v>
      </c>
      <c r="G94" s="27">
        <f t="shared" si="4"/>
        <v>1109581.2058153846</v>
      </c>
      <c r="H94" s="27">
        <f t="shared" si="4"/>
        <v>1115129.1118444616</v>
      </c>
      <c r="I94" s="27">
        <f t="shared" si="4"/>
        <v>1120704.7574036838</v>
      </c>
      <c r="J94" s="27">
        <f t="shared" si="4"/>
        <v>1126308.2811907022</v>
      </c>
      <c r="K94" s="27">
        <f t="shared" si="4"/>
        <v>1131939.8225966555</v>
      </c>
      <c r="L94" s="27">
        <f t="shared" si="4"/>
        <v>1137599.5217096386</v>
      </c>
      <c r="M94" s="27">
        <f t="shared" si="4"/>
        <v>1143287.5193181869</v>
      </c>
      <c r="N94" s="27">
        <f t="shared" si="4"/>
        <v>1149003.9569147776</v>
      </c>
      <c r="O94" s="27">
        <f t="shared" si="4"/>
        <v>1154748.9766993513</v>
      </c>
      <c r="P94" s="27">
        <f t="shared" si="4"/>
        <v>1160522.7215828479</v>
      </c>
      <c r="Q94" s="27">
        <f t="shared" si="4"/>
        <v>1166325.3351907621</v>
      </c>
      <c r="R94" s="27">
        <f t="shared" si="4"/>
        <v>1172156.9618667157</v>
      </c>
      <c r="S94" s="27">
        <f t="shared" si="4"/>
        <v>1178017.7466760492</v>
      </c>
      <c r="T94" s="27">
        <f t="shared" si="4"/>
        <v>1183907.8354094292</v>
      </c>
      <c r="U94" s="27">
        <f t="shared" si="4"/>
        <v>1189827.374586476</v>
      </c>
      <c r="V94" s="27">
        <f t="shared" si="4"/>
        <v>1195776.5114594083</v>
      </c>
      <c r="W94" s="27">
        <f t="shared" si="4"/>
        <v>1201755.3940167052</v>
      </c>
      <c r="X94" s="16"/>
    </row>
    <row r="95" spans="1:24" x14ac:dyDescent="0.25">
      <c r="A95" s="13" t="str">
        <v xml:space="preserve">International incoming fixed telephone traffic </v>
      </c>
      <c r="B95" s="84"/>
      <c r="D95" s="27">
        <f t="shared" ref="D95:W95" si="5">D84</f>
        <v>95722.97809240385</v>
      </c>
      <c r="E95" s="27">
        <f t="shared" si="5"/>
        <v>55934.038682307691</v>
      </c>
      <c r="F95" s="27">
        <f t="shared" si="5"/>
        <v>39109.971850961541</v>
      </c>
      <c r="G95" s="27">
        <f t="shared" si="5"/>
        <v>18247.089838153846</v>
      </c>
      <c r="H95" s="27">
        <f t="shared" si="5"/>
        <v>18338.325287344618</v>
      </c>
      <c r="I95" s="27">
        <f t="shared" si="5"/>
        <v>18430.016913781335</v>
      </c>
      <c r="J95" s="27">
        <f t="shared" si="5"/>
        <v>18522.16699835024</v>
      </c>
      <c r="K95" s="27">
        <f t="shared" si="5"/>
        <v>18614.777833341988</v>
      </c>
      <c r="L95" s="27">
        <f t="shared" si="5"/>
        <v>18707.851722508694</v>
      </c>
      <c r="M95" s="27">
        <f t="shared" si="5"/>
        <v>18801.390981121236</v>
      </c>
      <c r="N95" s="27">
        <f t="shared" si="5"/>
        <v>18895.397936026842</v>
      </c>
      <c r="O95" s="27">
        <f t="shared" si="5"/>
        <v>18989.874925706972</v>
      </c>
      <c r="P95" s="27">
        <f t="shared" si="5"/>
        <v>19084.824300335506</v>
      </c>
      <c r="Q95" s="27">
        <f t="shared" si="5"/>
        <v>19180.248421837186</v>
      </c>
      <c r="R95" s="27">
        <f t="shared" si="5"/>
        <v>19276.149663946369</v>
      </c>
      <c r="S95" s="27">
        <f t="shared" si="5"/>
        <v>19372.530412266096</v>
      </c>
      <c r="T95" s="27">
        <f t="shared" si="5"/>
        <v>19469.393064327425</v>
      </c>
      <c r="U95" s="27">
        <f t="shared" si="5"/>
        <v>19566.740029649067</v>
      </c>
      <c r="V95" s="27">
        <f t="shared" si="5"/>
        <v>19664.573729797306</v>
      </c>
      <c r="W95" s="27">
        <f t="shared" si="5"/>
        <v>19762.896598446288</v>
      </c>
      <c r="X95" s="16"/>
    </row>
    <row r="96" spans="1:24" x14ac:dyDescent="0.25">
      <c r="A96" s="13" t="str">
        <v>International outgoing fixed telephone traffic</v>
      </c>
      <c r="B96" s="84"/>
      <c r="D96" s="27">
        <f t="shared" ref="D96:W96" si="6">D85</f>
        <v>94573.237790769228</v>
      </c>
      <c r="E96" s="27">
        <f t="shared" si="6"/>
        <v>28238.308167461539</v>
      </c>
      <c r="F96" s="27">
        <f t="shared" si="6"/>
        <v>30937.532421634616</v>
      </c>
      <c r="G96" s="27">
        <f t="shared" si="6"/>
        <v>26254.952130461541</v>
      </c>
      <c r="H96" s="27">
        <f t="shared" si="6"/>
        <v>26386.226891113845</v>
      </c>
      <c r="I96" s="27">
        <f t="shared" si="6"/>
        <v>26518.15802556941</v>
      </c>
      <c r="J96" s="27">
        <f t="shared" si="6"/>
        <v>26650.748815697258</v>
      </c>
      <c r="K96" s="27">
        <f t="shared" si="6"/>
        <v>26784.002559775738</v>
      </c>
      <c r="L96" s="27">
        <f t="shared" si="6"/>
        <v>26917.922572574618</v>
      </c>
      <c r="M96" s="27">
        <f t="shared" si="6"/>
        <v>27052.512185437485</v>
      </c>
      <c r="N96" s="27">
        <f t="shared" si="6"/>
        <v>27187.77474636467</v>
      </c>
      <c r="O96" s="27">
        <f t="shared" si="6"/>
        <v>27323.713620096489</v>
      </c>
      <c r="P96" s="27">
        <f t="shared" si="6"/>
        <v>27460.332188196968</v>
      </c>
      <c r="Q96" s="27">
        <f t="shared" si="6"/>
        <v>27597.633849137954</v>
      </c>
      <c r="R96" s="27">
        <f t="shared" si="6"/>
        <v>27735.622018383634</v>
      </c>
      <c r="S96" s="27">
        <f t="shared" si="6"/>
        <v>27874.300128475552</v>
      </c>
      <c r="T96" s="27">
        <f t="shared" si="6"/>
        <v>28013.671629117925</v>
      </c>
      <c r="U96" s="27">
        <f t="shared" si="6"/>
        <v>28153.739987263514</v>
      </c>
      <c r="V96" s="27">
        <f t="shared" si="6"/>
        <v>28294.508687199828</v>
      </c>
      <c r="W96" s="27">
        <f t="shared" si="6"/>
        <v>28435.981230635822</v>
      </c>
    </row>
    <row r="97" spans="1:46" x14ac:dyDescent="0.25">
      <c r="A97" s="22"/>
      <c r="B97" s="84"/>
      <c r="X97" s="16" t="s">
        <v>96</v>
      </c>
    </row>
    <row r="98" spans="1:46" x14ac:dyDescent="0.25">
      <c r="B98" s="19"/>
    </row>
    <row r="99" spans="1:46" s="50" customFormat="1" x14ac:dyDescent="0.25">
      <c r="A99" s="49" t="s">
        <v>97</v>
      </c>
      <c r="B99" s="150"/>
    </row>
    <row r="100" spans="1:46" x14ac:dyDescent="0.25">
      <c r="B100" s="19"/>
    </row>
    <row r="101" spans="1:46" x14ac:dyDescent="0.25">
      <c r="A101" s="13" t="s">
        <v>98</v>
      </c>
      <c r="B101" s="19"/>
      <c r="D101" s="49" t="s">
        <v>99</v>
      </c>
      <c r="E101" s="50"/>
      <c r="F101" s="50"/>
      <c r="G101" s="50"/>
      <c r="H101" s="50"/>
      <c r="I101" s="50"/>
      <c r="J101" s="50"/>
      <c r="K101" s="50"/>
      <c r="L101" s="50"/>
      <c r="M101" s="50"/>
      <c r="N101" s="50"/>
      <c r="O101" s="50"/>
      <c r="P101" s="50"/>
      <c r="Q101" s="50"/>
      <c r="R101" s="50"/>
      <c r="S101" s="50"/>
      <c r="T101" s="50"/>
      <c r="U101" s="50"/>
      <c r="V101" s="50"/>
      <c r="W101" s="50"/>
      <c r="Z101" s="49" t="s">
        <v>89</v>
      </c>
      <c r="AA101" s="50"/>
      <c r="AB101" s="50"/>
      <c r="AC101" s="50"/>
      <c r="AD101" s="50"/>
      <c r="AE101" s="50"/>
      <c r="AF101" s="50"/>
      <c r="AG101" s="50"/>
      <c r="AH101" s="50"/>
      <c r="AI101" s="50"/>
      <c r="AJ101" s="50"/>
      <c r="AK101" s="50"/>
      <c r="AL101" s="50"/>
      <c r="AM101" s="50"/>
      <c r="AN101" s="50"/>
      <c r="AO101" s="50"/>
      <c r="AP101" s="50"/>
      <c r="AQ101" s="50"/>
      <c r="AR101" s="50"/>
      <c r="AS101" s="50"/>
    </row>
    <row r="102" spans="1:46" x14ac:dyDescent="0.25">
      <c r="A102" s="1"/>
      <c r="B102" s="19"/>
      <c r="C102"/>
      <c r="D102" s="53" cm="1">
        <f t="array" ref="D102:W102">years</f>
        <v>2018</v>
      </c>
      <c r="E102" s="53">
        <v>2019</v>
      </c>
      <c r="F102" s="53">
        <v>2020</v>
      </c>
      <c r="G102" s="53">
        <v>2021</v>
      </c>
      <c r="H102" s="53">
        <v>2022</v>
      </c>
      <c r="I102" s="53">
        <v>2023</v>
      </c>
      <c r="J102" s="53">
        <v>2024</v>
      </c>
      <c r="K102" s="53">
        <v>2025</v>
      </c>
      <c r="L102" s="53">
        <v>2026</v>
      </c>
      <c r="M102" s="53">
        <v>2027</v>
      </c>
      <c r="N102" s="53">
        <v>2028</v>
      </c>
      <c r="O102" s="53">
        <v>2029</v>
      </c>
      <c r="P102" s="53">
        <v>2030</v>
      </c>
      <c r="Q102" s="53">
        <v>2031</v>
      </c>
      <c r="R102" s="53">
        <v>2032</v>
      </c>
      <c r="S102" s="53">
        <v>2033</v>
      </c>
      <c r="T102" s="53">
        <v>2034</v>
      </c>
      <c r="U102" s="53">
        <v>2035</v>
      </c>
      <c r="V102" s="53">
        <v>2036</v>
      </c>
      <c r="W102" s="53">
        <v>2037</v>
      </c>
      <c r="X102"/>
      <c r="Y102"/>
      <c r="Z102" s="53" cm="1">
        <f t="array" ref="Z102:AS102">years</f>
        <v>2018</v>
      </c>
      <c r="AA102" s="53">
        <v>2019</v>
      </c>
      <c r="AB102" s="53">
        <v>2020</v>
      </c>
      <c r="AC102" s="53">
        <v>2021</v>
      </c>
      <c r="AD102" s="53">
        <v>2022</v>
      </c>
      <c r="AE102" s="53">
        <v>2023</v>
      </c>
      <c r="AF102" s="53">
        <v>2024</v>
      </c>
      <c r="AG102" s="53">
        <v>2025</v>
      </c>
      <c r="AH102" s="53">
        <v>2026</v>
      </c>
      <c r="AI102" s="53">
        <v>2027</v>
      </c>
      <c r="AJ102" s="53">
        <v>2028</v>
      </c>
      <c r="AK102" s="53">
        <v>2029</v>
      </c>
      <c r="AL102" s="53">
        <v>2030</v>
      </c>
      <c r="AM102" s="53">
        <v>2031</v>
      </c>
      <c r="AN102" s="53">
        <v>2032</v>
      </c>
      <c r="AO102" s="53">
        <v>2033</v>
      </c>
      <c r="AP102" s="53">
        <v>2034</v>
      </c>
      <c r="AQ102" s="53">
        <v>2035</v>
      </c>
      <c r="AR102" s="53">
        <v>2036</v>
      </c>
      <c r="AS102" s="53">
        <v>2037</v>
      </c>
    </row>
    <row r="103" spans="1:46" x14ac:dyDescent="0.25">
      <c r="A103" s="13" t="str" cm="1">
        <f t="array" ref="A103:A109">fixed_services</f>
        <v>On-net fixed to fixed traffic</v>
      </c>
      <c r="B103" s="19"/>
      <c r="D103" s="142" cm="1">
        <f t="array" ref="D103:W109">(fixed_minutes_busy_hour/mins_call)</f>
        <v>257886.27186275597</v>
      </c>
      <c r="E103" s="142">
        <v>259953.6910442723</v>
      </c>
      <c r="F103" s="142">
        <v>242075.44932484784</v>
      </c>
      <c r="G103" s="142">
        <v>228660.67755174323</v>
      </c>
      <c r="H103" s="142">
        <v>229803.98093950193</v>
      </c>
      <c r="I103" s="142">
        <v>230953.00084419939</v>
      </c>
      <c r="J103" s="142">
        <v>232107.76584842039</v>
      </c>
      <c r="K103" s="142">
        <v>233268.30467766244</v>
      </c>
      <c r="L103" s="142">
        <v>234434.64620105072</v>
      </c>
      <c r="M103" s="142">
        <v>235606.81943205596</v>
      </c>
      <c r="N103" s="142">
        <v>236784.85352921623</v>
      </c>
      <c r="O103" s="142">
        <v>237968.77779686224</v>
      </c>
      <c r="P103" s="142">
        <v>239158.62168584653</v>
      </c>
      <c r="Q103" s="142">
        <v>240354.41479427574</v>
      </c>
      <c r="R103" s="142">
        <v>241556.18686824711</v>
      </c>
      <c r="S103" s="142">
        <v>242763.9678025883</v>
      </c>
      <c r="T103" s="142">
        <v>243977.78764160126</v>
      </c>
      <c r="U103" s="142">
        <v>245197.67657980922</v>
      </c>
      <c r="V103" s="142">
        <v>246423.66496270828</v>
      </c>
      <c r="W103" s="142">
        <v>247655.78328752177</v>
      </c>
    </row>
    <row r="104" spans="1:46" x14ac:dyDescent="0.25">
      <c r="A104" s="13" t="str">
        <v>Incoming fixed to fixed traffic</v>
      </c>
      <c r="B104" s="19"/>
      <c r="D104" s="143">
        <v>171924.1812418373</v>
      </c>
      <c r="E104" s="143">
        <v>173302.46069618154</v>
      </c>
      <c r="F104" s="143">
        <v>161383.63288323188</v>
      </c>
      <c r="G104" s="143">
        <v>152440.45170116215</v>
      </c>
      <c r="H104" s="143">
        <v>153202.65395966792</v>
      </c>
      <c r="I104" s="143">
        <v>153968.66722946626</v>
      </c>
      <c r="J104" s="143">
        <v>154738.51056561357</v>
      </c>
      <c r="K104" s="143">
        <v>155512.20311844166</v>
      </c>
      <c r="L104" s="143">
        <v>156289.76413403382</v>
      </c>
      <c r="M104" s="143">
        <v>157071.21295470398</v>
      </c>
      <c r="N104" s="143">
        <v>157856.56901947747</v>
      </c>
      <c r="O104" s="143">
        <v>158645.85186457486</v>
      </c>
      <c r="P104" s="143">
        <v>159439.08112389769</v>
      </c>
      <c r="Q104" s="143">
        <v>160236.27652951717</v>
      </c>
      <c r="R104" s="143">
        <v>161037.45791216471</v>
      </c>
      <c r="S104" s="143">
        <v>161842.64520172554</v>
      </c>
      <c r="T104" s="143">
        <v>162651.85842773414</v>
      </c>
      <c r="U104" s="143">
        <v>163465.11771987277</v>
      </c>
      <c r="V104" s="143">
        <v>164282.44330847211</v>
      </c>
      <c r="W104" s="143">
        <v>165103.85552501446</v>
      </c>
    </row>
    <row r="105" spans="1:46" x14ac:dyDescent="0.25">
      <c r="A105" s="13" t="str">
        <v>Off-net fixed to fixed traffic</v>
      </c>
      <c r="B105" s="19"/>
      <c r="D105" s="139">
        <v>171924.1812418373</v>
      </c>
      <c r="E105" s="139">
        <v>173302.46069618154</v>
      </c>
      <c r="F105" s="139">
        <v>161383.63288323188</v>
      </c>
      <c r="G105" s="139">
        <v>152440.45170116215</v>
      </c>
      <c r="H105" s="139">
        <v>153202.65395966792</v>
      </c>
      <c r="I105" s="139">
        <v>153968.66722946626</v>
      </c>
      <c r="J105" s="139">
        <v>154738.51056561357</v>
      </c>
      <c r="K105" s="139">
        <v>155512.20311844166</v>
      </c>
      <c r="L105" s="139">
        <v>156289.76413403382</v>
      </c>
      <c r="M105" s="139">
        <v>157071.21295470398</v>
      </c>
      <c r="N105" s="139">
        <v>157856.56901947747</v>
      </c>
      <c r="O105" s="139">
        <v>158645.85186457486</v>
      </c>
      <c r="P105" s="139">
        <v>159439.08112389769</v>
      </c>
      <c r="Q105" s="139">
        <v>160236.27652951717</v>
      </c>
      <c r="R105" s="139">
        <v>161037.45791216471</v>
      </c>
      <c r="S105" s="139">
        <v>161842.64520172554</v>
      </c>
      <c r="T105" s="139">
        <v>162651.85842773414</v>
      </c>
      <c r="U105" s="139">
        <v>163465.11771987277</v>
      </c>
      <c r="V105" s="139">
        <v>164282.44330847211</v>
      </c>
      <c r="W105" s="139">
        <v>165103.85552501446</v>
      </c>
    </row>
    <row r="106" spans="1:46" x14ac:dyDescent="0.25">
      <c r="A106" s="13" t="str">
        <v>Fixed to Mobile Telephone traffic</v>
      </c>
      <c r="B106" s="19"/>
      <c r="D106" s="139">
        <v>518235.51708702266</v>
      </c>
      <c r="E106" s="139">
        <v>504670.67701162142</v>
      </c>
      <c r="F106" s="139">
        <v>584008.28504427231</v>
      </c>
      <c r="G106" s="139">
        <v>584308.26408411737</v>
      </c>
      <c r="H106" s="139">
        <v>587229.80540453782</v>
      </c>
      <c r="I106" s="139">
        <v>590165.95443156036</v>
      </c>
      <c r="J106" s="139">
        <v>593116.78420371807</v>
      </c>
      <c r="K106" s="139">
        <v>596082.36812473671</v>
      </c>
      <c r="L106" s="139">
        <v>599062.7799653603</v>
      </c>
      <c r="M106" s="139">
        <v>602058.09386518702</v>
      </c>
      <c r="N106" s="139">
        <v>605068.38433451275</v>
      </c>
      <c r="O106" s="139">
        <v>608093.72625618533</v>
      </c>
      <c r="P106" s="139">
        <v>611134.19488746615</v>
      </c>
      <c r="Q106" s="139">
        <v>614189.86586190329</v>
      </c>
      <c r="R106" s="139">
        <v>617260.81519121293</v>
      </c>
      <c r="S106" s="139">
        <v>620347.11926716869</v>
      </c>
      <c r="T106" s="139">
        <v>623448.85486350465</v>
      </c>
      <c r="U106" s="139">
        <v>626566.09913782193</v>
      </c>
      <c r="V106" s="139">
        <v>629698.929633511</v>
      </c>
      <c r="W106" s="139">
        <v>632847.42428167851</v>
      </c>
    </row>
    <row r="107" spans="1:46" x14ac:dyDescent="0.25">
      <c r="A107" s="13" t="str">
        <v>Outgoing mobile traffic to fixed networks</v>
      </c>
      <c r="B107" s="19"/>
      <c r="D107" s="139">
        <v>150593.84133370226</v>
      </c>
      <c r="E107" s="139">
        <v>208994.36682899838</v>
      </c>
      <c r="F107" s="139">
        <v>267760.38193829556</v>
      </c>
      <c r="G107" s="139">
        <v>266086.62009961263</v>
      </c>
      <c r="H107" s="139">
        <v>267417.05320011073</v>
      </c>
      <c r="I107" s="139">
        <v>268754.13846611127</v>
      </c>
      <c r="J107" s="139">
        <v>270097.90915844176</v>
      </c>
      <c r="K107" s="139">
        <v>271448.39870423393</v>
      </c>
      <c r="L107" s="139">
        <v>272805.64069775509</v>
      </c>
      <c r="M107" s="139">
        <v>274169.66890124389</v>
      </c>
      <c r="N107" s="139">
        <v>275540.51724575006</v>
      </c>
      <c r="O107" s="139">
        <v>276918.21983197873</v>
      </c>
      <c r="P107" s="139">
        <v>278302.81093113858</v>
      </c>
      <c r="Q107" s="139">
        <v>279694.32498579426</v>
      </c>
      <c r="R107" s="139">
        <v>281092.79661072319</v>
      </c>
      <c r="S107" s="139">
        <v>282498.26059377677</v>
      </c>
      <c r="T107" s="139">
        <v>283910.75189674558</v>
      </c>
      <c r="U107" s="139">
        <v>285330.30565622926</v>
      </c>
      <c r="V107" s="139">
        <v>286756.95718451042</v>
      </c>
      <c r="W107" s="139">
        <v>288190.74197043292</v>
      </c>
    </row>
    <row r="108" spans="1:46" x14ac:dyDescent="0.25">
      <c r="A108" s="13" t="str">
        <v xml:space="preserve">International incoming fixed telephone traffic </v>
      </c>
      <c r="B108" s="19"/>
      <c r="D108" s="139">
        <v>22955.150621679582</v>
      </c>
      <c r="E108" s="139">
        <v>13413.438532927505</v>
      </c>
      <c r="F108" s="139">
        <v>9378.8901321250705</v>
      </c>
      <c r="G108" s="139">
        <v>4375.8009204205864</v>
      </c>
      <c r="H108" s="139">
        <v>4397.6799250226904</v>
      </c>
      <c r="I108" s="139">
        <v>4419.6683246478024</v>
      </c>
      <c r="J108" s="139">
        <v>4441.7666662710408</v>
      </c>
      <c r="K108" s="139">
        <v>4463.9754996023958</v>
      </c>
      <c r="L108" s="139">
        <v>4486.2953771004068</v>
      </c>
      <c r="M108" s="139">
        <v>4508.7268539859078</v>
      </c>
      <c r="N108" s="139">
        <v>4531.2704882558373</v>
      </c>
      <c r="O108" s="139">
        <v>4553.9268406971159</v>
      </c>
      <c r="P108" s="139">
        <v>4576.6964749006011</v>
      </c>
      <c r="Q108" s="139">
        <v>4599.5799572751048</v>
      </c>
      <c r="R108" s="139">
        <v>4622.5778570614793</v>
      </c>
      <c r="S108" s="139">
        <v>4645.690746346786</v>
      </c>
      <c r="T108" s="139">
        <v>4668.9192000785197</v>
      </c>
      <c r="U108" s="139">
        <v>4692.2637960789134</v>
      </c>
      <c r="V108" s="139">
        <v>4715.7251150593065</v>
      </c>
      <c r="W108" s="139">
        <v>4739.303740634602</v>
      </c>
    </row>
    <row r="109" spans="1:46" x14ac:dyDescent="0.25">
      <c r="A109" s="13" t="str">
        <v>International outgoing fixed telephone traffic</v>
      </c>
      <c r="B109" s="19"/>
      <c r="D109" s="139">
        <v>22679.433522966243</v>
      </c>
      <c r="E109" s="139">
        <v>6771.7765389596016</v>
      </c>
      <c r="F109" s="139">
        <v>7419.0725231737688</v>
      </c>
      <c r="G109" s="139">
        <v>6296.1515900387385</v>
      </c>
      <c r="H109" s="139">
        <v>6327.6323479889315</v>
      </c>
      <c r="I109" s="139">
        <v>6359.2705097288754</v>
      </c>
      <c r="J109" s="139">
        <v>6391.0668622775202</v>
      </c>
      <c r="K109" s="139">
        <v>6423.0221965889059</v>
      </c>
      <c r="L109" s="139">
        <v>6455.1373075718511</v>
      </c>
      <c r="M109" s="139">
        <v>6487.412994109709</v>
      </c>
      <c r="N109" s="139">
        <v>6519.8500590802569</v>
      </c>
      <c r="O109" s="139">
        <v>6552.4493093756573</v>
      </c>
      <c r="P109" s="139">
        <v>6585.211555922534</v>
      </c>
      <c r="Q109" s="139">
        <v>6618.1376137021471</v>
      </c>
      <c r="R109" s="139">
        <v>6651.2283017706559</v>
      </c>
      <c r="S109" s="139">
        <v>6684.4844432795089</v>
      </c>
      <c r="T109" s="139">
        <v>6717.9068654959055</v>
      </c>
      <c r="U109" s="139">
        <v>6751.4963998233852</v>
      </c>
      <c r="V109" s="139">
        <v>6785.2538818225012</v>
      </c>
      <c r="W109" s="139">
        <v>6819.1801512316124</v>
      </c>
      <c r="X109" s="16" t="s">
        <v>100</v>
      </c>
    </row>
    <row r="110" spans="1:46" x14ac:dyDescent="0.25">
      <c r="B110" s="19"/>
      <c r="D110" s="168"/>
      <c r="E110" s="168"/>
      <c r="F110" s="168"/>
      <c r="G110" s="168"/>
      <c r="H110" s="168"/>
      <c r="I110" s="168"/>
      <c r="J110" s="168"/>
      <c r="K110" s="168"/>
      <c r="L110" s="168"/>
      <c r="M110" s="168"/>
      <c r="N110" s="168"/>
      <c r="O110" s="168"/>
      <c r="P110" s="168"/>
      <c r="Q110" s="168"/>
      <c r="R110" s="168"/>
      <c r="S110" s="168"/>
      <c r="T110" s="168"/>
      <c r="U110" s="168"/>
      <c r="V110" s="168"/>
      <c r="W110" s="168"/>
    </row>
    <row r="111" spans="1:46" x14ac:dyDescent="0.25">
      <c r="A111" s="13" t="s">
        <v>101</v>
      </c>
      <c r="B111" s="19"/>
      <c r="D111" s="139">
        <f>SUM(D103:D109)</f>
        <v>1316198.5769118012</v>
      </c>
      <c r="E111" s="139">
        <f t="shared" ref="E111:W111" si="7">SUM(E103:E109)</f>
        <v>1340408.8713491424</v>
      </c>
      <c r="F111" s="139">
        <f t="shared" si="7"/>
        <v>1433409.3447291781</v>
      </c>
      <c r="G111" s="139">
        <f t="shared" si="7"/>
        <v>1394608.4176482568</v>
      </c>
      <c r="H111" s="139">
        <f t="shared" si="7"/>
        <v>1401581.4597364981</v>
      </c>
      <c r="I111" s="139">
        <f t="shared" si="7"/>
        <v>1408589.3670351803</v>
      </c>
      <c r="J111" s="139">
        <f t="shared" si="7"/>
        <v>1415632.313870356</v>
      </c>
      <c r="K111" s="139">
        <f t="shared" si="7"/>
        <v>1422710.4754397075</v>
      </c>
      <c r="L111" s="139">
        <f t="shared" si="7"/>
        <v>1429824.0278169061</v>
      </c>
      <c r="M111" s="139">
        <f t="shared" si="7"/>
        <v>1436973.1479559904</v>
      </c>
      <c r="N111" s="139">
        <f t="shared" si="7"/>
        <v>1444158.0136957699</v>
      </c>
      <c r="O111" s="139">
        <f t="shared" si="7"/>
        <v>1451378.8037642487</v>
      </c>
      <c r="P111" s="139">
        <f t="shared" si="7"/>
        <v>1458635.6977830702</v>
      </c>
      <c r="Q111" s="139">
        <f t="shared" si="7"/>
        <v>1465928.876271985</v>
      </c>
      <c r="R111" s="139">
        <f t="shared" si="7"/>
        <v>1473258.5206533452</v>
      </c>
      <c r="S111" s="139">
        <f t="shared" si="7"/>
        <v>1480624.8132566111</v>
      </c>
      <c r="T111" s="139">
        <f t="shared" si="7"/>
        <v>1488027.9373228943</v>
      </c>
      <c r="U111" s="139">
        <f t="shared" si="7"/>
        <v>1495468.0770095082</v>
      </c>
      <c r="V111" s="139">
        <f t="shared" si="7"/>
        <v>1502945.4173945559</v>
      </c>
      <c r="W111" s="139">
        <f t="shared" si="7"/>
        <v>1510460.1444815283</v>
      </c>
      <c r="X111" s="16" t="s">
        <v>102</v>
      </c>
      <c r="Z111" s="139">
        <f t="shared" ref="Z111:AS111" si="8">D111-D104-D106-D107</f>
        <v>475445.03724923899</v>
      </c>
      <c r="AA111" s="139">
        <f t="shared" si="8"/>
        <v>453441.36681234109</v>
      </c>
      <c r="AB111" s="139">
        <f t="shared" si="8"/>
        <v>420257.0448633784</v>
      </c>
      <c r="AC111" s="139">
        <f t="shared" si="8"/>
        <v>391773.08176336461</v>
      </c>
      <c r="AD111" s="139">
        <f t="shared" si="8"/>
        <v>393731.94717218151</v>
      </c>
      <c r="AE111" s="139">
        <f t="shared" si="8"/>
        <v>395700.60690804257</v>
      </c>
      <c r="AF111" s="139">
        <f t="shared" si="8"/>
        <v>397679.10994258249</v>
      </c>
      <c r="AG111" s="139">
        <f t="shared" si="8"/>
        <v>399667.50549229525</v>
      </c>
      <c r="AH111" s="139">
        <f t="shared" si="8"/>
        <v>401665.8430197569</v>
      </c>
      <c r="AI111" s="139">
        <f t="shared" si="8"/>
        <v>403674.17223485553</v>
      </c>
      <c r="AJ111" s="139">
        <f t="shared" si="8"/>
        <v>405692.54309602978</v>
      </c>
      <c r="AK111" s="139">
        <f t="shared" si="8"/>
        <v>407721.00581150973</v>
      </c>
      <c r="AL111" s="139">
        <f t="shared" si="8"/>
        <v>409759.61084056762</v>
      </c>
      <c r="AM111" s="139">
        <f t="shared" si="8"/>
        <v>411808.4088947702</v>
      </c>
      <c r="AN111" s="139">
        <f t="shared" si="8"/>
        <v>413867.4509392443</v>
      </c>
      <c r="AO111" s="139">
        <f t="shared" si="8"/>
        <v>415936.78819394024</v>
      </c>
      <c r="AP111" s="139">
        <f t="shared" si="8"/>
        <v>418016.47213491</v>
      </c>
      <c r="AQ111" s="139">
        <f t="shared" si="8"/>
        <v>420106.5544955841</v>
      </c>
      <c r="AR111" s="139">
        <f t="shared" si="8"/>
        <v>422207.08726806229</v>
      </c>
      <c r="AS111" s="139">
        <f t="shared" si="8"/>
        <v>424318.12270440243</v>
      </c>
      <c r="AT111" s="16" t="s">
        <v>103</v>
      </c>
    </row>
    <row r="112" spans="1:46" x14ac:dyDescent="0.25">
      <c r="B112" s="19"/>
      <c r="D112" s="168"/>
      <c r="E112" s="168"/>
      <c r="F112" s="168"/>
      <c r="G112" s="168"/>
      <c r="H112" s="168"/>
      <c r="I112" s="168"/>
      <c r="J112" s="168"/>
      <c r="K112" s="168"/>
      <c r="L112" s="168"/>
      <c r="M112" s="168"/>
      <c r="N112" s="168"/>
      <c r="O112" s="168"/>
      <c r="P112" s="168"/>
      <c r="Q112" s="168"/>
      <c r="R112" s="168"/>
      <c r="S112" s="168"/>
      <c r="T112" s="168"/>
      <c r="U112" s="168"/>
      <c r="V112" s="168"/>
      <c r="W112" s="168"/>
      <c r="X112" s="16"/>
    </row>
    <row r="113" spans="1:46" x14ac:dyDescent="0.25">
      <c r="A113" s="13" t="s">
        <v>104</v>
      </c>
      <c r="B113" s="19"/>
      <c r="D113" s="168"/>
      <c r="E113" s="168"/>
      <c r="F113" s="168"/>
      <c r="G113" s="168"/>
      <c r="H113" s="168"/>
      <c r="I113" s="168"/>
      <c r="J113" s="168"/>
      <c r="K113" s="168"/>
      <c r="L113" s="168"/>
      <c r="M113" s="168"/>
      <c r="N113" s="168"/>
      <c r="O113" s="168"/>
      <c r="P113" s="168"/>
      <c r="Q113" s="168"/>
      <c r="R113" s="168"/>
      <c r="S113" s="168"/>
      <c r="T113" s="168"/>
      <c r="U113" s="168"/>
      <c r="V113" s="168"/>
      <c r="W113" s="168"/>
      <c r="X113" s="16"/>
    </row>
    <row r="114" spans="1:46" x14ac:dyDescent="0.25">
      <c r="B114" s="19"/>
      <c r="D114" s="168"/>
      <c r="E114" s="168"/>
      <c r="F114" s="168"/>
      <c r="G114" s="168"/>
      <c r="H114" s="168"/>
      <c r="I114" s="168"/>
      <c r="J114" s="168"/>
      <c r="K114" s="168"/>
      <c r="L114" s="168"/>
      <c r="M114" s="168"/>
      <c r="N114" s="168"/>
      <c r="O114" s="168"/>
      <c r="P114" s="168"/>
      <c r="Q114" s="168"/>
      <c r="R114" s="168"/>
      <c r="S114" s="168"/>
      <c r="T114" s="168"/>
      <c r="U114" s="168"/>
      <c r="V114" s="168"/>
      <c r="W114" s="168"/>
      <c r="X114" s="16"/>
    </row>
    <row r="115" spans="1:46" x14ac:dyDescent="0.25">
      <c r="B115" s="19"/>
      <c r="D115" s="53" cm="1">
        <f t="array" ref="D115:W115">years</f>
        <v>2018</v>
      </c>
      <c r="E115" s="53">
        <v>2019</v>
      </c>
      <c r="F115" s="53">
        <v>2020</v>
      </c>
      <c r="G115" s="53">
        <v>2021</v>
      </c>
      <c r="H115" s="53">
        <v>2022</v>
      </c>
      <c r="I115" s="53">
        <v>2023</v>
      </c>
      <c r="J115" s="53">
        <v>2024</v>
      </c>
      <c r="K115" s="53">
        <v>2025</v>
      </c>
      <c r="L115" s="53">
        <v>2026</v>
      </c>
      <c r="M115" s="53">
        <v>2027</v>
      </c>
      <c r="N115" s="53">
        <v>2028</v>
      </c>
      <c r="O115" s="53">
        <v>2029</v>
      </c>
      <c r="P115" s="53">
        <v>2030</v>
      </c>
      <c r="Q115" s="53">
        <v>2031</v>
      </c>
      <c r="R115" s="53">
        <v>2032</v>
      </c>
      <c r="S115" s="53">
        <v>2033</v>
      </c>
      <c r="T115" s="53">
        <v>2034</v>
      </c>
      <c r="U115" s="53">
        <v>2035</v>
      </c>
      <c r="V115" s="53">
        <v>2036</v>
      </c>
      <c r="W115" s="53">
        <v>2037</v>
      </c>
      <c r="X115" s="16"/>
      <c r="Z115" s="53" cm="1">
        <f t="array" ref="Z115:AS115">years</f>
        <v>2018</v>
      </c>
      <c r="AA115" s="53">
        <v>2019</v>
      </c>
      <c r="AB115" s="53">
        <v>2020</v>
      </c>
      <c r="AC115" s="53">
        <v>2021</v>
      </c>
      <c r="AD115" s="53">
        <v>2022</v>
      </c>
      <c r="AE115" s="53">
        <v>2023</v>
      </c>
      <c r="AF115" s="53">
        <v>2024</v>
      </c>
      <c r="AG115" s="53">
        <v>2025</v>
      </c>
      <c r="AH115" s="53">
        <v>2026</v>
      </c>
      <c r="AI115" s="53">
        <v>2027</v>
      </c>
      <c r="AJ115" s="53">
        <v>2028</v>
      </c>
      <c r="AK115" s="53">
        <v>2029</v>
      </c>
      <c r="AL115" s="53">
        <v>2030</v>
      </c>
      <c r="AM115" s="53">
        <v>2031</v>
      </c>
      <c r="AN115" s="53">
        <v>2032</v>
      </c>
      <c r="AO115" s="53">
        <v>2033</v>
      </c>
      <c r="AP115" s="53">
        <v>2034</v>
      </c>
      <c r="AQ115" s="53">
        <v>2035</v>
      </c>
      <c r="AR115" s="53">
        <v>2036</v>
      </c>
      <c r="AS115" s="53">
        <v>2037</v>
      </c>
      <c r="AT115"/>
    </row>
    <row r="116" spans="1:46" x14ac:dyDescent="0.25">
      <c r="A116" s="13" t="str" cm="1">
        <f t="array" ref="A116:A122">fixed_services</f>
        <v>On-net fixed to fixed traffic</v>
      </c>
      <c r="B116" s="19"/>
      <c r="D116" s="139">
        <f>D103*onnet_factor</f>
        <v>515772.54372551193</v>
      </c>
      <c r="E116" s="139">
        <f t="shared" ref="E116:W116" si="9">E103*onnet_factor</f>
        <v>519907.3820885446</v>
      </c>
      <c r="F116" s="139">
        <f t="shared" si="9"/>
        <v>484150.89864969568</v>
      </c>
      <c r="G116" s="139">
        <f t="shared" si="9"/>
        <v>457321.35510348645</v>
      </c>
      <c r="H116" s="139">
        <f t="shared" si="9"/>
        <v>459607.96187900385</v>
      </c>
      <c r="I116" s="139">
        <f t="shared" si="9"/>
        <v>461906.00168839877</v>
      </c>
      <c r="J116" s="139">
        <f t="shared" si="9"/>
        <v>464215.53169684077</v>
      </c>
      <c r="K116" s="139">
        <f t="shared" si="9"/>
        <v>466536.60935532488</v>
      </c>
      <c r="L116" s="139">
        <f t="shared" si="9"/>
        <v>468869.29240210145</v>
      </c>
      <c r="M116" s="139">
        <f t="shared" si="9"/>
        <v>471213.63886411191</v>
      </c>
      <c r="N116" s="139">
        <f t="shared" si="9"/>
        <v>473569.70705843245</v>
      </c>
      <c r="O116" s="139">
        <f t="shared" si="9"/>
        <v>475937.55559372448</v>
      </c>
      <c r="P116" s="139">
        <f t="shared" si="9"/>
        <v>478317.24337169307</v>
      </c>
      <c r="Q116" s="139">
        <f t="shared" si="9"/>
        <v>480708.82958855148</v>
      </c>
      <c r="R116" s="139">
        <f t="shared" si="9"/>
        <v>483112.37373649422</v>
      </c>
      <c r="S116" s="139">
        <f t="shared" si="9"/>
        <v>485527.93560517661</v>
      </c>
      <c r="T116" s="139">
        <f t="shared" si="9"/>
        <v>487955.57528320252</v>
      </c>
      <c r="U116" s="139">
        <f t="shared" si="9"/>
        <v>490395.35315961845</v>
      </c>
      <c r="V116" s="139">
        <f t="shared" si="9"/>
        <v>492847.32992541656</v>
      </c>
      <c r="W116" s="139">
        <f t="shared" si="9"/>
        <v>495311.56657504354</v>
      </c>
      <c r="X116" s="16"/>
    </row>
    <row r="117" spans="1:46" x14ac:dyDescent="0.25">
      <c r="A117" s="13" t="str">
        <v>Incoming fixed to fixed traffic</v>
      </c>
      <c r="B117" s="19"/>
      <c r="D117" s="139">
        <f t="shared" ref="D117:D122" si="10">D104</f>
        <v>171924.1812418373</v>
      </c>
      <c r="E117" s="139">
        <f t="shared" ref="E117:W117" si="11">E104</f>
        <v>173302.46069618154</v>
      </c>
      <c r="F117" s="139">
        <f t="shared" si="11"/>
        <v>161383.63288323188</v>
      </c>
      <c r="G117" s="139">
        <f t="shared" si="11"/>
        <v>152440.45170116215</v>
      </c>
      <c r="H117" s="139">
        <f t="shared" si="11"/>
        <v>153202.65395966792</v>
      </c>
      <c r="I117" s="139">
        <f t="shared" si="11"/>
        <v>153968.66722946626</v>
      </c>
      <c r="J117" s="139">
        <f t="shared" si="11"/>
        <v>154738.51056561357</v>
      </c>
      <c r="K117" s="139">
        <f t="shared" si="11"/>
        <v>155512.20311844166</v>
      </c>
      <c r="L117" s="139">
        <f t="shared" si="11"/>
        <v>156289.76413403382</v>
      </c>
      <c r="M117" s="139">
        <f t="shared" si="11"/>
        <v>157071.21295470398</v>
      </c>
      <c r="N117" s="139">
        <f t="shared" si="11"/>
        <v>157856.56901947747</v>
      </c>
      <c r="O117" s="139">
        <f t="shared" si="11"/>
        <v>158645.85186457486</v>
      </c>
      <c r="P117" s="139">
        <f t="shared" si="11"/>
        <v>159439.08112389769</v>
      </c>
      <c r="Q117" s="139">
        <f t="shared" si="11"/>
        <v>160236.27652951717</v>
      </c>
      <c r="R117" s="139">
        <f t="shared" si="11"/>
        <v>161037.45791216471</v>
      </c>
      <c r="S117" s="139">
        <f t="shared" si="11"/>
        <v>161842.64520172554</v>
      </c>
      <c r="T117" s="139">
        <f t="shared" si="11"/>
        <v>162651.85842773414</v>
      </c>
      <c r="U117" s="139">
        <f t="shared" si="11"/>
        <v>163465.11771987277</v>
      </c>
      <c r="V117" s="139">
        <f t="shared" si="11"/>
        <v>164282.44330847211</v>
      </c>
      <c r="W117" s="139">
        <f t="shared" si="11"/>
        <v>165103.85552501446</v>
      </c>
      <c r="X117" s="16"/>
    </row>
    <row r="118" spans="1:46" x14ac:dyDescent="0.25">
      <c r="A118" s="13" t="str">
        <v>Off-net fixed to fixed traffic</v>
      </c>
      <c r="B118" s="19"/>
      <c r="D118" s="139">
        <f t="shared" si="10"/>
        <v>171924.1812418373</v>
      </c>
      <c r="E118" s="139">
        <f t="shared" ref="E118:W118" si="12">E105</f>
        <v>173302.46069618154</v>
      </c>
      <c r="F118" s="139">
        <f t="shared" si="12"/>
        <v>161383.63288323188</v>
      </c>
      <c r="G118" s="139">
        <f t="shared" si="12"/>
        <v>152440.45170116215</v>
      </c>
      <c r="H118" s="139">
        <f t="shared" si="12"/>
        <v>153202.65395966792</v>
      </c>
      <c r="I118" s="139">
        <f t="shared" si="12"/>
        <v>153968.66722946626</v>
      </c>
      <c r="J118" s="139">
        <f t="shared" si="12"/>
        <v>154738.51056561357</v>
      </c>
      <c r="K118" s="139">
        <f t="shared" si="12"/>
        <v>155512.20311844166</v>
      </c>
      <c r="L118" s="139">
        <f t="shared" si="12"/>
        <v>156289.76413403382</v>
      </c>
      <c r="M118" s="139">
        <f t="shared" si="12"/>
        <v>157071.21295470398</v>
      </c>
      <c r="N118" s="139">
        <f t="shared" si="12"/>
        <v>157856.56901947747</v>
      </c>
      <c r="O118" s="139">
        <f t="shared" si="12"/>
        <v>158645.85186457486</v>
      </c>
      <c r="P118" s="139">
        <f t="shared" si="12"/>
        <v>159439.08112389769</v>
      </c>
      <c r="Q118" s="139">
        <f t="shared" si="12"/>
        <v>160236.27652951717</v>
      </c>
      <c r="R118" s="139">
        <f t="shared" si="12"/>
        <v>161037.45791216471</v>
      </c>
      <c r="S118" s="139">
        <f t="shared" si="12"/>
        <v>161842.64520172554</v>
      </c>
      <c r="T118" s="139">
        <f t="shared" si="12"/>
        <v>162651.85842773414</v>
      </c>
      <c r="U118" s="139">
        <f t="shared" si="12"/>
        <v>163465.11771987277</v>
      </c>
      <c r="V118" s="139">
        <f t="shared" si="12"/>
        <v>164282.44330847211</v>
      </c>
      <c r="W118" s="139">
        <f t="shared" si="12"/>
        <v>165103.85552501446</v>
      </c>
      <c r="X118" s="16"/>
    </row>
    <row r="119" spans="1:46" x14ac:dyDescent="0.25">
      <c r="A119" s="13" t="str">
        <v>Fixed to Mobile Telephone traffic</v>
      </c>
      <c r="B119" s="19"/>
      <c r="D119" s="139">
        <f t="shared" si="10"/>
        <v>518235.51708702266</v>
      </c>
      <c r="E119" s="139">
        <f t="shared" ref="E119:W119" si="13">E106</f>
        <v>504670.67701162142</v>
      </c>
      <c r="F119" s="139">
        <f t="shared" si="13"/>
        <v>584008.28504427231</v>
      </c>
      <c r="G119" s="139">
        <f t="shared" si="13"/>
        <v>584308.26408411737</v>
      </c>
      <c r="H119" s="139">
        <f t="shared" si="13"/>
        <v>587229.80540453782</v>
      </c>
      <c r="I119" s="139">
        <f t="shared" si="13"/>
        <v>590165.95443156036</v>
      </c>
      <c r="J119" s="139">
        <f t="shared" si="13"/>
        <v>593116.78420371807</v>
      </c>
      <c r="K119" s="139">
        <f t="shared" si="13"/>
        <v>596082.36812473671</v>
      </c>
      <c r="L119" s="139">
        <f t="shared" si="13"/>
        <v>599062.7799653603</v>
      </c>
      <c r="M119" s="139">
        <f t="shared" si="13"/>
        <v>602058.09386518702</v>
      </c>
      <c r="N119" s="139">
        <f t="shared" si="13"/>
        <v>605068.38433451275</v>
      </c>
      <c r="O119" s="139">
        <f t="shared" si="13"/>
        <v>608093.72625618533</v>
      </c>
      <c r="P119" s="139">
        <f t="shared" si="13"/>
        <v>611134.19488746615</v>
      </c>
      <c r="Q119" s="139">
        <f t="shared" si="13"/>
        <v>614189.86586190329</v>
      </c>
      <c r="R119" s="139">
        <f t="shared" si="13"/>
        <v>617260.81519121293</v>
      </c>
      <c r="S119" s="139">
        <f t="shared" si="13"/>
        <v>620347.11926716869</v>
      </c>
      <c r="T119" s="139">
        <f t="shared" si="13"/>
        <v>623448.85486350465</v>
      </c>
      <c r="U119" s="139">
        <f t="shared" si="13"/>
        <v>626566.09913782193</v>
      </c>
      <c r="V119" s="139">
        <f t="shared" si="13"/>
        <v>629698.929633511</v>
      </c>
      <c r="W119" s="139">
        <f t="shared" si="13"/>
        <v>632847.42428167851</v>
      </c>
      <c r="X119" s="16"/>
    </row>
    <row r="120" spans="1:46" x14ac:dyDescent="0.25">
      <c r="A120" s="13" t="str">
        <v>Outgoing mobile traffic to fixed networks</v>
      </c>
      <c r="B120" s="19"/>
      <c r="D120" s="139">
        <f t="shared" si="10"/>
        <v>150593.84133370226</v>
      </c>
      <c r="E120" s="139">
        <f t="shared" ref="E120:W120" si="14">E107</f>
        <v>208994.36682899838</v>
      </c>
      <c r="F120" s="139">
        <f t="shared" si="14"/>
        <v>267760.38193829556</v>
      </c>
      <c r="G120" s="139">
        <f t="shared" si="14"/>
        <v>266086.62009961263</v>
      </c>
      <c r="H120" s="139">
        <f t="shared" si="14"/>
        <v>267417.05320011073</v>
      </c>
      <c r="I120" s="139">
        <f t="shared" si="14"/>
        <v>268754.13846611127</v>
      </c>
      <c r="J120" s="139">
        <f t="shared" si="14"/>
        <v>270097.90915844176</v>
      </c>
      <c r="K120" s="139">
        <f t="shared" si="14"/>
        <v>271448.39870423393</v>
      </c>
      <c r="L120" s="139">
        <f t="shared" si="14"/>
        <v>272805.64069775509</v>
      </c>
      <c r="M120" s="139">
        <f t="shared" si="14"/>
        <v>274169.66890124389</v>
      </c>
      <c r="N120" s="139">
        <f t="shared" si="14"/>
        <v>275540.51724575006</v>
      </c>
      <c r="O120" s="139">
        <f t="shared" si="14"/>
        <v>276918.21983197873</v>
      </c>
      <c r="P120" s="139">
        <f t="shared" si="14"/>
        <v>278302.81093113858</v>
      </c>
      <c r="Q120" s="139">
        <f t="shared" si="14"/>
        <v>279694.32498579426</v>
      </c>
      <c r="R120" s="139">
        <f t="shared" si="14"/>
        <v>281092.79661072319</v>
      </c>
      <c r="S120" s="139">
        <f t="shared" si="14"/>
        <v>282498.26059377677</v>
      </c>
      <c r="T120" s="139">
        <f t="shared" si="14"/>
        <v>283910.75189674558</v>
      </c>
      <c r="U120" s="139">
        <f t="shared" si="14"/>
        <v>285330.30565622926</v>
      </c>
      <c r="V120" s="139">
        <f t="shared" si="14"/>
        <v>286756.95718451042</v>
      </c>
      <c r="W120" s="139">
        <f t="shared" si="14"/>
        <v>288190.74197043292</v>
      </c>
      <c r="X120" s="16"/>
    </row>
    <row r="121" spans="1:46" x14ac:dyDescent="0.25">
      <c r="A121" s="13" t="str">
        <v xml:space="preserve">International incoming fixed telephone traffic </v>
      </c>
      <c r="B121" s="19"/>
      <c r="D121" s="139">
        <f t="shared" si="10"/>
        <v>22955.150621679582</v>
      </c>
      <c r="E121" s="139">
        <f t="shared" ref="E121:W122" si="15">E108</f>
        <v>13413.438532927505</v>
      </c>
      <c r="F121" s="139">
        <f t="shared" si="15"/>
        <v>9378.8901321250705</v>
      </c>
      <c r="G121" s="139">
        <f t="shared" si="15"/>
        <v>4375.8009204205864</v>
      </c>
      <c r="H121" s="139">
        <f t="shared" si="15"/>
        <v>4397.6799250226904</v>
      </c>
      <c r="I121" s="139">
        <f t="shared" si="15"/>
        <v>4419.6683246478024</v>
      </c>
      <c r="J121" s="139">
        <f t="shared" si="15"/>
        <v>4441.7666662710408</v>
      </c>
      <c r="K121" s="139">
        <f t="shared" si="15"/>
        <v>4463.9754996023958</v>
      </c>
      <c r="L121" s="139">
        <f t="shared" si="15"/>
        <v>4486.2953771004068</v>
      </c>
      <c r="M121" s="139">
        <f t="shared" si="15"/>
        <v>4508.7268539859078</v>
      </c>
      <c r="N121" s="139">
        <f t="shared" si="15"/>
        <v>4531.2704882558373</v>
      </c>
      <c r="O121" s="139">
        <f t="shared" si="15"/>
        <v>4553.9268406971159</v>
      </c>
      <c r="P121" s="139">
        <f t="shared" si="15"/>
        <v>4576.6964749006011</v>
      </c>
      <c r="Q121" s="139">
        <f t="shared" si="15"/>
        <v>4599.5799572751048</v>
      </c>
      <c r="R121" s="139">
        <f t="shared" si="15"/>
        <v>4622.5778570614793</v>
      </c>
      <c r="S121" s="139">
        <f t="shared" si="15"/>
        <v>4645.690746346786</v>
      </c>
      <c r="T121" s="139">
        <f t="shared" si="15"/>
        <v>4668.9192000785197</v>
      </c>
      <c r="U121" s="139">
        <f t="shared" si="15"/>
        <v>4692.2637960789134</v>
      </c>
      <c r="V121" s="139">
        <f t="shared" si="15"/>
        <v>4715.7251150593065</v>
      </c>
      <c r="W121" s="139">
        <f t="shared" si="15"/>
        <v>4739.303740634602</v>
      </c>
    </row>
    <row r="122" spans="1:46" x14ac:dyDescent="0.25">
      <c r="A122" s="13" t="str">
        <v>International outgoing fixed telephone traffic</v>
      </c>
      <c r="B122" s="19"/>
      <c r="D122" s="139">
        <f t="shared" si="10"/>
        <v>22679.433522966243</v>
      </c>
      <c r="E122" s="139">
        <f t="shared" si="15"/>
        <v>6771.7765389596016</v>
      </c>
      <c r="F122" s="139">
        <f t="shared" si="15"/>
        <v>7419.0725231737688</v>
      </c>
      <c r="G122" s="139">
        <f t="shared" si="15"/>
        <v>6296.1515900387385</v>
      </c>
      <c r="H122" s="139">
        <f t="shared" si="15"/>
        <v>6327.6323479889315</v>
      </c>
      <c r="I122" s="139">
        <f t="shared" si="15"/>
        <v>6359.2705097288754</v>
      </c>
      <c r="J122" s="139">
        <f t="shared" si="15"/>
        <v>6391.0668622775202</v>
      </c>
      <c r="K122" s="139">
        <f t="shared" si="15"/>
        <v>6423.0221965889059</v>
      </c>
      <c r="L122" s="139">
        <f t="shared" si="15"/>
        <v>6455.1373075718511</v>
      </c>
      <c r="M122" s="139">
        <f t="shared" si="15"/>
        <v>6487.412994109709</v>
      </c>
      <c r="N122" s="139">
        <f t="shared" si="15"/>
        <v>6519.8500590802569</v>
      </c>
      <c r="O122" s="139">
        <f t="shared" si="15"/>
        <v>6552.4493093756573</v>
      </c>
      <c r="P122" s="139">
        <f t="shared" si="15"/>
        <v>6585.211555922534</v>
      </c>
      <c r="Q122" s="139">
        <f t="shared" si="15"/>
        <v>6618.1376137021471</v>
      </c>
      <c r="R122" s="139">
        <f t="shared" si="15"/>
        <v>6651.2283017706559</v>
      </c>
      <c r="S122" s="139">
        <f t="shared" si="15"/>
        <v>6684.4844432795089</v>
      </c>
      <c r="T122" s="139">
        <f t="shared" si="15"/>
        <v>6717.9068654959055</v>
      </c>
      <c r="U122" s="139">
        <f t="shared" si="15"/>
        <v>6751.4963998233852</v>
      </c>
      <c r="V122" s="139">
        <f t="shared" si="15"/>
        <v>6785.2538818225012</v>
      </c>
      <c r="W122" s="139">
        <f t="shared" si="15"/>
        <v>6819.1801512316124</v>
      </c>
      <c r="X122" s="16" t="s">
        <v>105</v>
      </c>
    </row>
    <row r="123" spans="1:46" x14ac:dyDescent="0.25">
      <c r="B123" s="19"/>
      <c r="D123" s="168"/>
      <c r="E123" s="168"/>
      <c r="F123" s="168"/>
      <c r="G123" s="168"/>
      <c r="H123" s="168"/>
      <c r="I123" s="168"/>
      <c r="J123" s="168"/>
      <c r="K123" s="168"/>
      <c r="L123" s="168"/>
      <c r="M123" s="168"/>
      <c r="N123" s="168"/>
      <c r="O123" s="168"/>
      <c r="P123" s="168"/>
      <c r="Q123" s="168"/>
      <c r="R123" s="168"/>
      <c r="S123" s="168"/>
      <c r="T123" s="168"/>
      <c r="U123" s="168"/>
      <c r="V123" s="168"/>
      <c r="W123" s="168"/>
      <c r="X123" s="16"/>
    </row>
    <row r="124" spans="1:46" x14ac:dyDescent="0.25">
      <c r="A124" s="13" t="s">
        <v>101</v>
      </c>
      <c r="B124" s="19"/>
      <c r="D124" s="139">
        <f>SUM(D116:D122)</f>
        <v>1574084.8487745572</v>
      </c>
      <c r="E124" s="139">
        <f t="shared" ref="E124:W124" si="16">SUM(E116:E122)</f>
        <v>1600362.5623934146</v>
      </c>
      <c r="F124" s="139">
        <f t="shared" si="16"/>
        <v>1675484.7940540262</v>
      </c>
      <c r="G124" s="139">
        <f t="shared" si="16"/>
        <v>1623269.0951999999</v>
      </c>
      <c r="H124" s="139">
        <f t="shared" si="16"/>
        <v>1631385.440676</v>
      </c>
      <c r="I124" s="139">
        <f t="shared" si="16"/>
        <v>1639542.3678793795</v>
      </c>
      <c r="J124" s="139">
        <f t="shared" si="16"/>
        <v>1647740.079718776</v>
      </c>
      <c r="K124" s="139">
        <f t="shared" si="16"/>
        <v>1655978.78011737</v>
      </c>
      <c r="L124" s="139">
        <f t="shared" si="16"/>
        <v>1664258.6740179569</v>
      </c>
      <c r="M124" s="139">
        <f t="shared" si="16"/>
        <v>1672579.9673880464</v>
      </c>
      <c r="N124" s="139">
        <f t="shared" si="16"/>
        <v>1680942.8672249862</v>
      </c>
      <c r="O124" s="139">
        <f t="shared" si="16"/>
        <v>1689347.5815611109</v>
      </c>
      <c r="P124" s="139">
        <f t="shared" si="16"/>
        <v>1697794.3194689164</v>
      </c>
      <c r="Q124" s="139">
        <f t="shared" si="16"/>
        <v>1706283.2910662605</v>
      </c>
      <c r="R124" s="139">
        <f t="shared" si="16"/>
        <v>1714814.7075215923</v>
      </c>
      <c r="S124" s="139">
        <f t="shared" si="16"/>
        <v>1723388.7810591995</v>
      </c>
      <c r="T124" s="139">
        <f t="shared" si="16"/>
        <v>1732005.7249644955</v>
      </c>
      <c r="U124" s="139">
        <f t="shared" si="16"/>
        <v>1740665.7535893174</v>
      </c>
      <c r="V124" s="139">
        <f t="shared" si="16"/>
        <v>1749369.0823572644</v>
      </c>
      <c r="W124" s="139">
        <f t="shared" si="16"/>
        <v>1758115.92776905</v>
      </c>
      <c r="X124" s="16" t="s">
        <v>106</v>
      </c>
      <c r="Z124" s="139">
        <f t="shared" ref="Z124:AS124" si="17">D124-D117-D119-D120</f>
        <v>733331.30911199492</v>
      </c>
      <c r="AA124" s="139">
        <f t="shared" si="17"/>
        <v>713395.0578566133</v>
      </c>
      <c r="AB124" s="139">
        <f t="shared" si="17"/>
        <v>662332.49418822653</v>
      </c>
      <c r="AC124" s="139">
        <f t="shared" si="17"/>
        <v>620433.75931510772</v>
      </c>
      <c r="AD124" s="139">
        <f t="shared" si="17"/>
        <v>623535.92811168334</v>
      </c>
      <c r="AE124" s="139">
        <f t="shared" si="17"/>
        <v>626653.60775224178</v>
      </c>
      <c r="AF124" s="139">
        <f t="shared" si="17"/>
        <v>629786.87579100253</v>
      </c>
      <c r="AG124" s="139">
        <f t="shared" si="17"/>
        <v>632935.81016995769</v>
      </c>
      <c r="AH124" s="139">
        <f t="shared" si="17"/>
        <v>636100.48922080779</v>
      </c>
      <c r="AI124" s="139">
        <f t="shared" si="17"/>
        <v>639280.99166691164</v>
      </c>
      <c r="AJ124" s="139">
        <f t="shared" si="17"/>
        <v>642477.39662524604</v>
      </c>
      <c r="AK124" s="139">
        <f t="shared" si="17"/>
        <v>645689.78360837186</v>
      </c>
      <c r="AL124" s="139">
        <f t="shared" si="17"/>
        <v>648918.23252641386</v>
      </c>
      <c r="AM124" s="139">
        <f t="shared" si="17"/>
        <v>652162.82368904573</v>
      </c>
      <c r="AN124" s="139">
        <f t="shared" si="17"/>
        <v>655423.63780749147</v>
      </c>
      <c r="AO124" s="139">
        <f t="shared" si="17"/>
        <v>658700.75599652855</v>
      </c>
      <c r="AP124" s="139">
        <f t="shared" si="17"/>
        <v>661994.25977651123</v>
      </c>
      <c r="AQ124" s="139">
        <f t="shared" si="17"/>
        <v>665304.23107539339</v>
      </c>
      <c r="AR124" s="139">
        <f t="shared" si="17"/>
        <v>668630.75223077077</v>
      </c>
      <c r="AS124" s="139">
        <f t="shared" si="17"/>
        <v>671973.90599192411</v>
      </c>
      <c r="AT124" s="16" t="s">
        <v>107</v>
      </c>
    </row>
    <row r="125" spans="1:46" x14ac:dyDescent="0.25">
      <c r="B125" s="19"/>
      <c r="D125" s="168"/>
      <c r="E125" s="168"/>
      <c r="F125" s="168"/>
      <c r="G125" s="168"/>
      <c r="H125" s="168"/>
      <c r="I125" s="168"/>
      <c r="J125" s="168"/>
      <c r="K125" s="168"/>
      <c r="L125" s="168"/>
      <c r="M125" s="168"/>
      <c r="N125" s="168"/>
      <c r="O125" s="168"/>
      <c r="P125" s="168"/>
      <c r="Q125" s="168"/>
      <c r="R125" s="168"/>
      <c r="S125" s="168"/>
      <c r="T125" s="168"/>
      <c r="U125" s="168"/>
      <c r="V125" s="168"/>
      <c r="W125" s="168"/>
      <c r="X125" s="16"/>
    </row>
    <row r="126" spans="1:46" x14ac:dyDescent="0.25">
      <c r="A126" s="49" t="s">
        <v>108</v>
      </c>
      <c r="B126" s="150"/>
      <c r="C126" s="50"/>
      <c r="D126" s="169"/>
      <c r="E126" s="169"/>
      <c r="F126" s="169"/>
      <c r="G126" s="169"/>
      <c r="H126" s="169"/>
      <c r="I126" s="169"/>
      <c r="J126" s="169"/>
      <c r="K126" s="169"/>
      <c r="L126" s="169"/>
      <c r="M126" s="169"/>
      <c r="N126" s="169"/>
      <c r="O126" s="169"/>
      <c r="P126" s="169"/>
      <c r="Q126" s="169"/>
      <c r="R126" s="169"/>
      <c r="S126" s="169"/>
      <c r="T126" s="169"/>
      <c r="U126" s="169"/>
      <c r="V126" s="169"/>
      <c r="W126" s="169"/>
      <c r="X126" s="170"/>
      <c r="Y126" s="50"/>
      <c r="Z126" s="50"/>
      <c r="AA126" s="50"/>
      <c r="AB126" s="50"/>
      <c r="AC126" s="50"/>
      <c r="AD126" s="50"/>
      <c r="AE126" s="50"/>
      <c r="AF126" s="50"/>
      <c r="AG126" s="50"/>
      <c r="AH126" s="50"/>
      <c r="AI126" s="50"/>
      <c r="AJ126" s="50"/>
      <c r="AK126" s="50"/>
      <c r="AL126" s="50"/>
      <c r="AM126" s="50"/>
      <c r="AN126" s="50"/>
      <c r="AO126" s="50"/>
      <c r="AP126" s="50"/>
      <c r="AQ126" s="50"/>
      <c r="AR126" s="50"/>
      <c r="AS126" s="50"/>
    </row>
    <row r="127" spans="1:46" x14ac:dyDescent="0.25">
      <c r="B127" s="19"/>
      <c r="D127" s="168"/>
      <c r="E127" s="168"/>
      <c r="F127" s="168"/>
      <c r="G127" s="168"/>
      <c r="H127" s="168"/>
      <c r="I127" s="168"/>
      <c r="J127" s="168"/>
      <c r="K127" s="168"/>
      <c r="L127" s="168"/>
      <c r="M127" s="168"/>
      <c r="N127" s="168"/>
      <c r="O127" s="168"/>
      <c r="P127" s="168"/>
      <c r="Q127" s="168"/>
      <c r="R127" s="168"/>
      <c r="S127" s="168"/>
      <c r="T127" s="168"/>
      <c r="U127" s="168"/>
      <c r="V127" s="168"/>
      <c r="W127" s="168"/>
      <c r="X127" s="16"/>
    </row>
    <row r="128" spans="1:46" x14ac:dyDescent="0.25">
      <c r="A128" s="13" t="s">
        <v>109</v>
      </c>
      <c r="B128" s="19"/>
      <c r="D128" s="49" t="s">
        <v>99</v>
      </c>
      <c r="E128" s="50"/>
      <c r="F128" s="50"/>
      <c r="G128" s="50"/>
      <c r="H128" s="50"/>
      <c r="I128" s="50"/>
      <c r="J128" s="50"/>
      <c r="K128" s="50"/>
      <c r="L128" s="50"/>
      <c r="M128" s="50"/>
      <c r="N128" s="50"/>
      <c r="O128" s="50"/>
      <c r="P128" s="50"/>
      <c r="Q128" s="50"/>
      <c r="R128" s="50"/>
      <c r="S128" s="50"/>
      <c r="T128" s="50"/>
      <c r="U128" s="50"/>
      <c r="V128" s="50"/>
      <c r="W128" s="50"/>
      <c r="X128" s="16"/>
      <c r="Z128" s="49" t="s">
        <v>89</v>
      </c>
      <c r="AA128" s="50"/>
      <c r="AB128" s="50"/>
      <c r="AC128" s="50"/>
      <c r="AD128" s="50"/>
      <c r="AE128" s="50"/>
      <c r="AF128" s="50"/>
      <c r="AG128" s="50"/>
      <c r="AH128" s="50"/>
      <c r="AI128" s="50"/>
      <c r="AJ128" s="50"/>
      <c r="AK128" s="50"/>
      <c r="AL128" s="50"/>
      <c r="AM128" s="50"/>
      <c r="AN128" s="50"/>
      <c r="AO128" s="50"/>
      <c r="AP128" s="50"/>
      <c r="AQ128" s="50"/>
      <c r="AR128" s="50"/>
      <c r="AS128" s="50"/>
    </row>
    <row r="129" spans="1:46" x14ac:dyDescent="0.25">
      <c r="B129" s="19"/>
      <c r="D129" s="53" cm="1">
        <f t="array" ref="D129:W129">years</f>
        <v>2018</v>
      </c>
      <c r="E129" s="53">
        <v>2019</v>
      </c>
      <c r="F129" s="53">
        <v>2020</v>
      </c>
      <c r="G129" s="53">
        <v>2021</v>
      </c>
      <c r="H129" s="53">
        <v>2022</v>
      </c>
      <c r="I129" s="53">
        <v>2023</v>
      </c>
      <c r="J129" s="53">
        <v>2024</v>
      </c>
      <c r="K129" s="53">
        <v>2025</v>
      </c>
      <c r="L129" s="53">
        <v>2026</v>
      </c>
      <c r="M129" s="53">
        <v>2027</v>
      </c>
      <c r="N129" s="53">
        <v>2028</v>
      </c>
      <c r="O129" s="53">
        <v>2029</v>
      </c>
      <c r="P129" s="53">
        <v>2030</v>
      </c>
      <c r="Q129" s="53">
        <v>2031</v>
      </c>
      <c r="R129" s="53">
        <v>2032</v>
      </c>
      <c r="S129" s="53">
        <v>2033</v>
      </c>
      <c r="T129" s="53">
        <v>2034</v>
      </c>
      <c r="U129" s="53">
        <v>2035</v>
      </c>
      <c r="V129" s="53">
        <v>2036</v>
      </c>
      <c r="W129" s="53">
        <v>2037</v>
      </c>
      <c r="X129" s="16"/>
      <c r="Z129" s="53" cm="1">
        <f t="array" ref="Z129:AS129">years</f>
        <v>2018</v>
      </c>
      <c r="AA129" s="53">
        <v>2019</v>
      </c>
      <c r="AB129" s="53">
        <v>2020</v>
      </c>
      <c r="AC129" s="53">
        <v>2021</v>
      </c>
      <c r="AD129" s="53">
        <v>2022</v>
      </c>
      <c r="AE129" s="53">
        <v>2023</v>
      </c>
      <c r="AF129" s="53">
        <v>2024</v>
      </c>
      <c r="AG129" s="53">
        <v>2025</v>
      </c>
      <c r="AH129" s="53">
        <v>2026</v>
      </c>
      <c r="AI129" s="53">
        <v>2027</v>
      </c>
      <c r="AJ129" s="53">
        <v>2028</v>
      </c>
      <c r="AK129" s="53">
        <v>2029</v>
      </c>
      <c r="AL129" s="53">
        <v>2030</v>
      </c>
      <c r="AM129" s="53">
        <v>2031</v>
      </c>
      <c r="AN129" s="53">
        <v>2032</v>
      </c>
      <c r="AO129" s="53">
        <v>2033</v>
      </c>
      <c r="AP129" s="53">
        <v>2034</v>
      </c>
      <c r="AQ129" s="53">
        <v>2035</v>
      </c>
      <c r="AR129" s="53">
        <v>2036</v>
      </c>
      <c r="AS129" s="53">
        <v>2037</v>
      </c>
    </row>
    <row r="130" spans="1:46" x14ac:dyDescent="0.25">
      <c r="A130" s="13" t="str" cm="1">
        <f t="array" ref="A130:A136">fixed_services</f>
        <v>On-net fixed to fixed traffic</v>
      </c>
      <c r="B130" s="19"/>
      <c r="D130" s="27" cm="1">
        <f t="array" ref="D130:W136">fixed_calls_service_onnet_factor/(1-unsuccessful_calls_perc)</f>
        <v>532163.16934122157</v>
      </c>
      <c r="E130" s="27">
        <v>536429.407850335</v>
      </c>
      <c r="F130" s="27">
        <v>499536.62675370998</v>
      </c>
      <c r="G130" s="27">
        <v>471854.47286781517</v>
      </c>
      <c r="H130" s="27">
        <v>474213.74523215421</v>
      </c>
      <c r="I130" s="27">
        <v>476584.81395831489</v>
      </c>
      <c r="J130" s="27">
        <v>478967.73802810645</v>
      </c>
      <c r="K130" s="27">
        <v>481362.57671824691</v>
      </c>
      <c r="L130" s="27">
        <v>483769.38960183808</v>
      </c>
      <c r="M130" s="27">
        <v>486188.23654984724</v>
      </c>
      <c r="N130" s="27">
        <v>488619.17773259646</v>
      </c>
      <c r="O130" s="27">
        <v>491062.27362125932</v>
      </c>
      <c r="P130" s="27">
        <v>493517.58498936554</v>
      </c>
      <c r="Q130" s="27">
        <v>495985.17291431234</v>
      </c>
      <c r="R130" s="27">
        <v>498465.09877888387</v>
      </c>
      <c r="S130" s="27">
        <v>500957.42427277821</v>
      </c>
      <c r="T130" s="27">
        <v>503462.21139414213</v>
      </c>
      <c r="U130" s="27">
        <v>505979.52245111275</v>
      </c>
      <c r="V130" s="27">
        <v>508509.42006336834</v>
      </c>
      <c r="W130" s="27">
        <v>511051.96716368507</v>
      </c>
      <c r="X130" s="16"/>
    </row>
    <row r="131" spans="1:46" x14ac:dyDescent="0.25">
      <c r="A131" s="13" t="str">
        <v>Incoming fixed to fixed traffic</v>
      </c>
      <c r="B131" s="19"/>
      <c r="D131" s="27">
        <v>177387.7231137405</v>
      </c>
      <c r="E131" s="27">
        <v>178809.80261677832</v>
      </c>
      <c r="F131" s="27">
        <v>166512.20891790331</v>
      </c>
      <c r="G131" s="27">
        <v>157284.82428927172</v>
      </c>
      <c r="H131" s="27">
        <v>158071.24841071805</v>
      </c>
      <c r="I131" s="27">
        <v>158861.60465277164</v>
      </c>
      <c r="J131" s="27">
        <v>159655.91267603548</v>
      </c>
      <c r="K131" s="27">
        <v>160454.19223941566</v>
      </c>
      <c r="L131" s="27">
        <v>161256.46320061269</v>
      </c>
      <c r="M131" s="27">
        <v>162062.74551661575</v>
      </c>
      <c r="N131" s="27">
        <v>162873.05924419878</v>
      </c>
      <c r="O131" s="27">
        <v>163687.4245404198</v>
      </c>
      <c r="P131" s="27">
        <v>164505.86166312185</v>
      </c>
      <c r="Q131" s="27">
        <v>165328.39097143745</v>
      </c>
      <c r="R131" s="27">
        <v>166155.0329262946</v>
      </c>
      <c r="S131" s="27">
        <v>166985.80809092606</v>
      </c>
      <c r="T131" s="27">
        <v>167820.73713138068</v>
      </c>
      <c r="U131" s="27">
        <v>168659.84081703753</v>
      </c>
      <c r="V131" s="27">
        <v>169503.1400211227</v>
      </c>
      <c r="W131" s="27">
        <v>170350.65572122831</v>
      </c>
      <c r="X131" s="16"/>
    </row>
    <row r="132" spans="1:46" x14ac:dyDescent="0.25">
      <c r="A132" s="13" t="str">
        <v>Off-net fixed to fixed traffic</v>
      </c>
      <c r="B132" s="19"/>
      <c r="D132" s="27">
        <v>177387.7231137405</v>
      </c>
      <c r="E132" s="27">
        <v>178809.80261677832</v>
      </c>
      <c r="F132" s="27">
        <v>166512.20891790331</v>
      </c>
      <c r="G132" s="27">
        <v>157284.82428927172</v>
      </c>
      <c r="H132" s="27">
        <v>158071.24841071805</v>
      </c>
      <c r="I132" s="27">
        <v>158861.60465277164</v>
      </c>
      <c r="J132" s="27">
        <v>159655.91267603548</v>
      </c>
      <c r="K132" s="27">
        <v>160454.19223941566</v>
      </c>
      <c r="L132" s="27">
        <v>161256.46320061269</v>
      </c>
      <c r="M132" s="27">
        <v>162062.74551661575</v>
      </c>
      <c r="N132" s="27">
        <v>162873.05924419878</v>
      </c>
      <c r="O132" s="27">
        <v>163687.4245404198</v>
      </c>
      <c r="P132" s="27">
        <v>164505.86166312185</v>
      </c>
      <c r="Q132" s="27">
        <v>165328.39097143745</v>
      </c>
      <c r="R132" s="27">
        <v>166155.0329262946</v>
      </c>
      <c r="S132" s="27">
        <v>166985.80809092606</v>
      </c>
      <c r="T132" s="27">
        <v>167820.73713138068</v>
      </c>
      <c r="U132" s="27">
        <v>168659.84081703753</v>
      </c>
      <c r="V132" s="27">
        <v>169503.1400211227</v>
      </c>
      <c r="W132" s="27">
        <v>170350.65572122831</v>
      </c>
      <c r="X132" s="16"/>
    </row>
    <row r="133" spans="1:46" x14ac:dyDescent="0.25">
      <c r="A133" s="13" t="str">
        <v>Fixed to Mobile Telephone traffic</v>
      </c>
      <c r="D133" s="27">
        <v>534704.41300765856</v>
      </c>
      <c r="E133" s="27">
        <v>520708.4987738562</v>
      </c>
      <c r="F133" s="27">
        <v>602567.35972376424</v>
      </c>
      <c r="G133" s="27">
        <v>602876.87173350947</v>
      </c>
      <c r="H133" s="27">
        <v>605891.25609217689</v>
      </c>
      <c r="I133" s="27">
        <v>608920.71237263759</v>
      </c>
      <c r="J133" s="27">
        <v>611965.31593450077</v>
      </c>
      <c r="K133" s="27">
        <v>615025.14251417329</v>
      </c>
      <c r="L133" s="27">
        <v>618100.26822674403</v>
      </c>
      <c r="M133" s="27">
        <v>621190.76956787764</v>
      </c>
      <c r="N133" s="27">
        <v>624296.7234157169</v>
      </c>
      <c r="O133" s="27">
        <v>627418.20703279541</v>
      </c>
      <c r="P133" s="27">
        <v>630555.29806795937</v>
      </c>
      <c r="Q133" s="27">
        <v>633708.07455829892</v>
      </c>
      <c r="R133" s="27">
        <v>636876.6149310905</v>
      </c>
      <c r="S133" s="27">
        <v>640060.9980057457</v>
      </c>
      <c r="T133" s="27">
        <v>643261.30299577455</v>
      </c>
      <c r="U133" s="27">
        <v>646477.60951075319</v>
      </c>
      <c r="V133" s="27">
        <v>649709.9975583069</v>
      </c>
      <c r="W133" s="27">
        <v>652958.54754609836</v>
      </c>
    </row>
    <row r="134" spans="1:46" x14ac:dyDescent="0.25">
      <c r="A134" s="13" t="str">
        <v>Outgoing mobile traffic to fixed networks</v>
      </c>
      <c r="D134" s="27">
        <v>155379.53088495901</v>
      </c>
      <c r="E134" s="27">
        <v>215635.9542189418</v>
      </c>
      <c r="F134" s="27">
        <v>276269.48198338377</v>
      </c>
      <c r="G134" s="27">
        <v>274542.53002436302</v>
      </c>
      <c r="H134" s="27">
        <v>275915.24267448491</v>
      </c>
      <c r="I134" s="27">
        <v>277294.81888785731</v>
      </c>
      <c r="J134" s="27">
        <v>278681.29298229649</v>
      </c>
      <c r="K134" s="27">
        <v>280074.69944720797</v>
      </c>
      <c r="L134" s="27">
        <v>281475.07294444396</v>
      </c>
      <c r="M134" s="27">
        <v>282882.44830916624</v>
      </c>
      <c r="N134" s="27">
        <v>284296.86055071198</v>
      </c>
      <c r="O134" s="27">
        <v>285718.3448534655</v>
      </c>
      <c r="P134" s="27">
        <v>287146.93657773273</v>
      </c>
      <c r="Q134" s="27">
        <v>288582.6712606214</v>
      </c>
      <c r="R134" s="27">
        <v>290025.58461692446</v>
      </c>
      <c r="S134" s="27">
        <v>291475.71254000906</v>
      </c>
      <c r="T134" s="27">
        <v>292933.09110270906</v>
      </c>
      <c r="U134" s="27">
        <v>294397.75655822252</v>
      </c>
      <c r="V134" s="27">
        <v>295869.74534101365</v>
      </c>
      <c r="W134" s="27">
        <v>297349.09406771866</v>
      </c>
      <c r="X134" s="140"/>
      <c r="Z134" s="140"/>
      <c r="AA134" s="140"/>
      <c r="AB134" s="140"/>
      <c r="AC134" s="140"/>
      <c r="AD134" s="140"/>
      <c r="AE134" s="140"/>
      <c r="AF134" s="140"/>
      <c r="AG134" s="140"/>
      <c r="AH134" s="140"/>
      <c r="AI134" s="140"/>
    </row>
    <row r="135" spans="1:46" x14ac:dyDescent="0.25">
      <c r="A135" s="13" t="str">
        <v xml:space="preserve">International incoming fixed telephone traffic </v>
      </c>
      <c r="D135" s="27">
        <v>23684.637455302913</v>
      </c>
      <c r="E135" s="27">
        <v>13839.701334015173</v>
      </c>
      <c r="F135" s="27">
        <v>9676.9398804427055</v>
      </c>
      <c r="G135" s="27">
        <v>4514.8585641978816</v>
      </c>
      <c r="H135" s="27">
        <v>4537.4328570188718</v>
      </c>
      <c r="I135" s="27">
        <v>4560.1200213039647</v>
      </c>
      <c r="J135" s="27">
        <v>4582.9206214104843</v>
      </c>
      <c r="K135" s="27">
        <v>4605.8352245175365</v>
      </c>
      <c r="L135" s="27">
        <v>4628.8644006401228</v>
      </c>
      <c r="M135" s="27">
        <v>4652.0087226433225</v>
      </c>
      <c r="N135" s="27">
        <v>4675.2687662565386</v>
      </c>
      <c r="O135" s="27">
        <v>4698.6451100878212</v>
      </c>
      <c r="P135" s="27">
        <v>4722.1383356382594</v>
      </c>
      <c r="Q135" s="27">
        <v>4745.7490273164522</v>
      </c>
      <c r="R135" s="27">
        <v>4769.4777724530331</v>
      </c>
      <c r="S135" s="27">
        <v>4793.325161315297</v>
      </c>
      <c r="T135" s="27">
        <v>4817.2917871218733</v>
      </c>
      <c r="U135" s="27">
        <v>4841.3782460574839</v>
      </c>
      <c r="V135" s="27">
        <v>4865.5851372877705</v>
      </c>
      <c r="W135" s="27">
        <v>4889.9130629742076</v>
      </c>
    </row>
    <row r="136" spans="1:46" x14ac:dyDescent="0.25">
      <c r="A136" s="13" t="str">
        <v>International outgoing fixed telephone traffic</v>
      </c>
      <c r="D136" s="27">
        <v>23400.158401739831</v>
      </c>
      <c r="E136" s="27">
        <v>6986.9753806846902</v>
      </c>
      <c r="F136" s="27">
        <v>7654.841645866456</v>
      </c>
      <c r="G136" s="27">
        <v>6496.2356479970476</v>
      </c>
      <c r="H136" s="27">
        <v>6528.7168262370324</v>
      </c>
      <c r="I136" s="27">
        <v>6561.3604103682164</v>
      </c>
      <c r="J136" s="27">
        <v>6594.1672124200586</v>
      </c>
      <c r="K136" s="27">
        <v>6627.1380484821566</v>
      </c>
      <c r="L136" s="27">
        <v>6660.2737387245679</v>
      </c>
      <c r="M136" s="27">
        <v>6693.5751074181899</v>
      </c>
      <c r="N136" s="27">
        <v>6727.0429829552795</v>
      </c>
      <c r="O136" s="27">
        <v>6760.6781978700556</v>
      </c>
      <c r="P136" s="27">
        <v>6794.4815888594039</v>
      </c>
      <c r="Q136" s="27">
        <v>6828.4539968037016</v>
      </c>
      <c r="R136" s="27">
        <v>6862.5962667877184</v>
      </c>
      <c r="S136" s="27">
        <v>6896.9092481216567</v>
      </c>
      <c r="T136" s="27">
        <v>6931.3937943622632</v>
      </c>
      <c r="U136" s="27">
        <v>6966.0507633340749</v>
      </c>
      <c r="V136" s="27">
        <v>7000.8810171507448</v>
      </c>
      <c r="W136" s="27">
        <v>7035.8854222364971</v>
      </c>
    </row>
    <row r="137" spans="1:46" x14ac:dyDescent="0.25">
      <c r="D137" s="76"/>
      <c r="E137" s="76"/>
      <c r="F137" s="76"/>
      <c r="G137" s="76"/>
      <c r="H137" s="76"/>
      <c r="I137" s="76"/>
      <c r="J137" s="76"/>
      <c r="K137" s="76"/>
      <c r="L137" s="76"/>
      <c r="M137" s="76"/>
      <c r="N137" s="76"/>
      <c r="O137" s="76"/>
      <c r="P137" s="76"/>
      <c r="Q137" s="76"/>
      <c r="R137" s="76"/>
      <c r="S137" s="76"/>
      <c r="T137" s="76"/>
      <c r="U137" s="76"/>
      <c r="V137" s="76"/>
      <c r="W137" s="76"/>
    </row>
    <row r="138" spans="1:46" x14ac:dyDescent="0.25">
      <c r="A138" s="13" t="s">
        <v>101</v>
      </c>
      <c r="D138" s="17">
        <f t="shared" ref="D138:V138" si="18">SUM(D130:D136)</f>
        <v>1624107.3553183628</v>
      </c>
      <c r="E138" s="17">
        <f t="shared" si="18"/>
        <v>1651220.1427913895</v>
      </c>
      <c r="F138" s="17">
        <f t="shared" si="18"/>
        <v>1728729.6678229736</v>
      </c>
      <c r="G138" s="17">
        <f t="shared" si="18"/>
        <v>1674854.6174164258</v>
      </c>
      <c r="H138" s="17">
        <f t="shared" si="18"/>
        <v>1683228.8905035078</v>
      </c>
      <c r="I138" s="17">
        <f t="shared" si="18"/>
        <v>1691645.0349560252</v>
      </c>
      <c r="J138" s="17">
        <f t="shared" si="18"/>
        <v>1700103.2601308054</v>
      </c>
      <c r="K138" s="17">
        <f t="shared" si="18"/>
        <v>1708603.7764314595</v>
      </c>
      <c r="L138" s="17">
        <f t="shared" si="18"/>
        <v>1717146.7953136161</v>
      </c>
      <c r="M138" s="17">
        <f t="shared" si="18"/>
        <v>1725732.5292901841</v>
      </c>
      <c r="N138" s="17">
        <f t="shared" si="18"/>
        <v>1734361.1919366347</v>
      </c>
      <c r="O138" s="17">
        <f t="shared" si="18"/>
        <v>1743032.9978963179</v>
      </c>
      <c r="P138" s="17">
        <f t="shared" si="18"/>
        <v>1751748.1628857988</v>
      </c>
      <c r="Q138" s="17">
        <f t="shared" si="18"/>
        <v>1760506.9037002276</v>
      </c>
      <c r="R138" s="17">
        <f t="shared" si="18"/>
        <v>1769309.4382187289</v>
      </c>
      <c r="S138" s="17">
        <f t="shared" si="18"/>
        <v>1778155.9854098218</v>
      </c>
      <c r="T138" s="17">
        <f t="shared" si="18"/>
        <v>1787046.7653368714</v>
      </c>
      <c r="U138" s="17">
        <f t="shared" si="18"/>
        <v>1795981.999163555</v>
      </c>
      <c r="V138" s="17">
        <f t="shared" si="18"/>
        <v>1804961.909159373</v>
      </c>
      <c r="W138" s="17">
        <f>SUM(W130:W136)</f>
        <v>1813986.7187051692</v>
      </c>
      <c r="X138" s="16" t="s">
        <v>110</v>
      </c>
      <c r="Z138" s="139">
        <f t="shared" ref="Z138:AS138" si="19">D138-D131-D133-D134</f>
        <v>756635.68831200467</v>
      </c>
      <c r="AA138" s="139">
        <f t="shared" si="19"/>
        <v>736065.88718181313</v>
      </c>
      <c r="AB138" s="139">
        <f t="shared" si="19"/>
        <v>683380.61719792231</v>
      </c>
      <c r="AC138" s="139">
        <f t="shared" si="19"/>
        <v>640150.39136928157</v>
      </c>
      <c r="AD138" s="139">
        <f t="shared" si="19"/>
        <v>643351.1433261279</v>
      </c>
      <c r="AE138" s="139">
        <f t="shared" si="19"/>
        <v>646567.89904275863</v>
      </c>
      <c r="AF138" s="139">
        <f t="shared" si="19"/>
        <v>649800.73853797279</v>
      </c>
      <c r="AG138" s="139">
        <f t="shared" si="19"/>
        <v>653049.74223066261</v>
      </c>
      <c r="AH138" s="139">
        <f t="shared" si="19"/>
        <v>656314.99094181531</v>
      </c>
      <c r="AI138" s="139">
        <f t="shared" si="19"/>
        <v>659596.56589652458</v>
      </c>
      <c r="AJ138" s="139">
        <f t="shared" si="19"/>
        <v>662894.54872600711</v>
      </c>
      <c r="AK138" s="139">
        <f t="shared" si="19"/>
        <v>666209.02146963705</v>
      </c>
      <c r="AL138" s="139">
        <f t="shared" si="19"/>
        <v>669540.06657698471</v>
      </c>
      <c r="AM138" s="139">
        <f t="shared" si="19"/>
        <v>672887.76690986997</v>
      </c>
      <c r="AN138" s="139">
        <f t="shared" si="19"/>
        <v>676252.20574441925</v>
      </c>
      <c r="AO138" s="139">
        <f t="shared" si="19"/>
        <v>679633.46677314094</v>
      </c>
      <c r="AP138" s="139">
        <f t="shared" si="19"/>
        <v>683031.63410700706</v>
      </c>
      <c r="AQ138" s="139">
        <f t="shared" si="19"/>
        <v>686446.79227754171</v>
      </c>
      <c r="AR138" s="139">
        <f t="shared" si="19"/>
        <v>689879.02623892971</v>
      </c>
      <c r="AS138" s="139">
        <f t="shared" si="19"/>
        <v>693328.42137012375</v>
      </c>
      <c r="AT138" s="16" t="s">
        <v>111</v>
      </c>
    </row>
    <row r="141" spans="1:46" x14ac:dyDescent="0.25">
      <c r="A141" s="49" t="s">
        <v>112</v>
      </c>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row>
    <row r="142" spans="1:46" x14ac:dyDescent="0.25">
      <c r="A142" s="2"/>
    </row>
    <row r="143" spans="1:46" x14ac:dyDescent="0.25">
      <c r="A143" s="13" t="s">
        <v>113</v>
      </c>
      <c r="D143" s="49" t="s">
        <v>99</v>
      </c>
      <c r="E143" s="50"/>
      <c r="F143" s="50"/>
      <c r="G143" s="50"/>
      <c r="H143" s="50"/>
      <c r="I143" s="50"/>
      <c r="J143" s="50"/>
      <c r="K143" s="50"/>
      <c r="L143" s="50"/>
      <c r="M143" s="50"/>
      <c r="N143" s="50"/>
      <c r="O143" s="50"/>
      <c r="P143" s="50"/>
      <c r="Q143" s="50"/>
      <c r="R143" s="50"/>
      <c r="S143" s="50"/>
      <c r="T143" s="50"/>
      <c r="U143" s="50"/>
      <c r="V143" s="50"/>
      <c r="W143" s="50"/>
      <c r="Z143" s="49" t="s">
        <v>89</v>
      </c>
      <c r="AA143" s="50"/>
      <c r="AB143" s="50"/>
      <c r="AC143" s="50"/>
      <c r="AD143" s="50"/>
      <c r="AE143" s="50"/>
      <c r="AF143" s="50"/>
      <c r="AG143" s="50"/>
      <c r="AH143" s="50"/>
      <c r="AI143" s="50"/>
      <c r="AJ143" s="50"/>
      <c r="AK143" s="50"/>
      <c r="AL143" s="50"/>
      <c r="AM143" s="50"/>
      <c r="AN143" s="50"/>
      <c r="AO143" s="50"/>
      <c r="AP143" s="50"/>
      <c r="AQ143" s="50"/>
      <c r="AR143" s="50"/>
      <c r="AS143" s="50"/>
    </row>
    <row r="144" spans="1:46" x14ac:dyDescent="0.25">
      <c r="D144" s="53" cm="1">
        <f t="array" ref="D144:W144">years</f>
        <v>2018</v>
      </c>
      <c r="E144" s="53">
        <v>2019</v>
      </c>
      <c r="F144" s="53">
        <v>2020</v>
      </c>
      <c r="G144" s="53">
        <v>2021</v>
      </c>
      <c r="H144" s="53">
        <v>2022</v>
      </c>
      <c r="I144" s="53">
        <v>2023</v>
      </c>
      <c r="J144" s="53">
        <v>2024</v>
      </c>
      <c r="K144" s="53">
        <v>2025</v>
      </c>
      <c r="L144" s="53">
        <v>2026</v>
      </c>
      <c r="M144" s="53">
        <v>2027</v>
      </c>
      <c r="N144" s="53">
        <v>2028</v>
      </c>
      <c r="O144" s="53">
        <v>2029</v>
      </c>
      <c r="P144" s="53">
        <v>2030</v>
      </c>
      <c r="Q144" s="53">
        <v>2031</v>
      </c>
      <c r="R144" s="53">
        <v>2032</v>
      </c>
      <c r="S144" s="53">
        <v>2033</v>
      </c>
      <c r="T144" s="53">
        <v>2034</v>
      </c>
      <c r="U144" s="53">
        <v>2035</v>
      </c>
      <c r="V144" s="53">
        <v>2036</v>
      </c>
      <c r="W144" s="53">
        <v>2037</v>
      </c>
      <c r="Z144" s="53" cm="1">
        <f t="array" ref="Z144:AS144">years</f>
        <v>2018</v>
      </c>
      <c r="AA144" s="53">
        <v>2019</v>
      </c>
      <c r="AB144" s="53">
        <v>2020</v>
      </c>
      <c r="AC144" s="53">
        <v>2021</v>
      </c>
      <c r="AD144" s="53">
        <v>2022</v>
      </c>
      <c r="AE144" s="53">
        <v>2023</v>
      </c>
      <c r="AF144" s="53">
        <v>2024</v>
      </c>
      <c r="AG144" s="53">
        <v>2025</v>
      </c>
      <c r="AH144" s="53">
        <v>2026</v>
      </c>
      <c r="AI144" s="53">
        <v>2027</v>
      </c>
      <c r="AJ144" s="53">
        <v>2028</v>
      </c>
      <c r="AK144" s="53">
        <v>2029</v>
      </c>
      <c r="AL144" s="53">
        <v>2030</v>
      </c>
      <c r="AM144" s="53">
        <v>2031</v>
      </c>
      <c r="AN144" s="53">
        <v>2032</v>
      </c>
      <c r="AO144" s="53">
        <v>2033</v>
      </c>
      <c r="AP144" s="53">
        <v>2034</v>
      </c>
      <c r="AQ144" s="53">
        <v>2035</v>
      </c>
      <c r="AR144" s="53">
        <v>2036</v>
      </c>
      <c r="AS144" s="53">
        <v>2037</v>
      </c>
    </row>
    <row r="145" spans="1:46" x14ac:dyDescent="0.25">
      <c r="A145" s="13" t="str" cm="1">
        <f t="array" ref="A145:A151">fixed_services</f>
        <v>On-net fixed to fixed traffic</v>
      </c>
      <c r="D145" s="27" cm="1">
        <f t="array" ref="D145:W151">fixed_minutes_busy_hour/sec_minute</f>
        <v>17923.095894461541</v>
      </c>
      <c r="E145" s="27">
        <v>18066.781527576924</v>
      </c>
      <c r="F145" s="27">
        <v>16824.243728076926</v>
      </c>
      <c r="G145" s="27">
        <v>15891.917089846154</v>
      </c>
      <c r="H145" s="27">
        <v>15971.376675295383</v>
      </c>
      <c r="I145" s="27">
        <v>16051.233558671858</v>
      </c>
      <c r="J145" s="27">
        <v>16131.489726465217</v>
      </c>
      <c r="K145" s="27">
        <v>16212.14717509754</v>
      </c>
      <c r="L145" s="27">
        <v>16293.207910973026</v>
      </c>
      <c r="M145" s="27">
        <v>16374.673950527887</v>
      </c>
      <c r="N145" s="27">
        <v>16456.547320280526</v>
      </c>
      <c r="O145" s="27">
        <v>16538.830056881925</v>
      </c>
      <c r="P145" s="27">
        <v>16621.524207166334</v>
      </c>
      <c r="Q145" s="27">
        <v>16704.631828202164</v>
      </c>
      <c r="R145" s="27">
        <v>16788.154987343172</v>
      </c>
      <c r="S145" s="27">
        <v>16872.095762279889</v>
      </c>
      <c r="T145" s="27">
        <v>16956.456241091288</v>
      </c>
      <c r="U145" s="27">
        <v>17041.238522296739</v>
      </c>
      <c r="V145" s="27">
        <v>17126.444714908223</v>
      </c>
      <c r="W145" s="27">
        <v>17212.076938482762</v>
      </c>
    </row>
    <row r="146" spans="1:46" x14ac:dyDescent="0.25">
      <c r="A146" s="13" t="str">
        <v>Incoming fixed to fixed traffic</v>
      </c>
      <c r="D146" s="27">
        <v>11948.730596307692</v>
      </c>
      <c r="E146" s="27">
        <v>12044.521018384616</v>
      </c>
      <c r="F146" s="27">
        <v>11216.162485384615</v>
      </c>
      <c r="G146" s="27">
        <v>10594.611393230769</v>
      </c>
      <c r="H146" s="27">
        <v>10647.58445019692</v>
      </c>
      <c r="I146" s="27">
        <v>10700.822372447905</v>
      </c>
      <c r="J146" s="27">
        <v>10754.326484310144</v>
      </c>
      <c r="K146" s="27">
        <v>10808.098116731695</v>
      </c>
      <c r="L146" s="27">
        <v>10862.13860731535</v>
      </c>
      <c r="M146" s="27">
        <v>10916.449300351927</v>
      </c>
      <c r="N146" s="27">
        <v>10971.031546853685</v>
      </c>
      <c r="O146" s="27">
        <v>11025.886704587952</v>
      </c>
      <c r="P146" s="27">
        <v>11081.01613811089</v>
      </c>
      <c r="Q146" s="27">
        <v>11136.421218801443</v>
      </c>
      <c r="R146" s="27">
        <v>11192.103324895446</v>
      </c>
      <c r="S146" s="27">
        <v>11248.063841519925</v>
      </c>
      <c r="T146" s="27">
        <v>11304.304160727525</v>
      </c>
      <c r="U146" s="27">
        <v>11360.825681531158</v>
      </c>
      <c r="V146" s="27">
        <v>11417.629809938811</v>
      </c>
      <c r="W146" s="27">
        <v>11474.717958988505</v>
      </c>
    </row>
    <row r="147" spans="1:46" x14ac:dyDescent="0.25">
      <c r="A147" s="13" t="str">
        <v>Off-net fixed to fixed traffic</v>
      </c>
      <c r="D147" s="27">
        <v>11948.730596307692</v>
      </c>
      <c r="E147" s="27">
        <v>12044.521018384616</v>
      </c>
      <c r="F147" s="27">
        <v>11216.162485384615</v>
      </c>
      <c r="G147" s="27">
        <v>10594.611393230769</v>
      </c>
      <c r="H147" s="27">
        <v>10647.58445019692</v>
      </c>
      <c r="I147" s="27">
        <v>10700.822372447905</v>
      </c>
      <c r="J147" s="27">
        <v>10754.326484310144</v>
      </c>
      <c r="K147" s="27">
        <v>10808.098116731695</v>
      </c>
      <c r="L147" s="27">
        <v>10862.13860731535</v>
      </c>
      <c r="M147" s="27">
        <v>10916.449300351927</v>
      </c>
      <c r="N147" s="27">
        <v>10971.031546853685</v>
      </c>
      <c r="O147" s="27">
        <v>11025.886704587952</v>
      </c>
      <c r="P147" s="27">
        <v>11081.01613811089</v>
      </c>
      <c r="Q147" s="27">
        <v>11136.421218801443</v>
      </c>
      <c r="R147" s="27">
        <v>11192.103324895446</v>
      </c>
      <c r="S147" s="27">
        <v>11248.063841519925</v>
      </c>
      <c r="T147" s="27">
        <v>11304.304160727525</v>
      </c>
      <c r="U147" s="27">
        <v>11360.825681531158</v>
      </c>
      <c r="V147" s="27">
        <v>11417.629809938811</v>
      </c>
      <c r="W147" s="27">
        <v>11474.717958988505</v>
      </c>
    </row>
    <row r="148" spans="1:46" x14ac:dyDescent="0.25">
      <c r="A148" s="13" t="str">
        <v>Fixed to Mobile Telephone traffic</v>
      </c>
      <c r="D148" s="27">
        <v>36017.368437548073</v>
      </c>
      <c r="E148" s="27">
        <v>35074.61205230769</v>
      </c>
      <c r="F148" s="27">
        <v>40588.575810576927</v>
      </c>
      <c r="G148" s="27">
        <v>40609.424353846152</v>
      </c>
      <c r="H148" s="27">
        <v>40812.471475615377</v>
      </c>
      <c r="I148" s="27">
        <v>41016.533832993446</v>
      </c>
      <c r="J148" s="27">
        <v>41221.616502158409</v>
      </c>
      <c r="K148" s="27">
        <v>41427.724584669202</v>
      </c>
      <c r="L148" s="27">
        <v>41634.863207592542</v>
      </c>
      <c r="M148" s="27">
        <v>41843.037523630497</v>
      </c>
      <c r="N148" s="27">
        <v>42052.252711248635</v>
      </c>
      <c r="O148" s="27">
        <v>42262.513974804882</v>
      </c>
      <c r="P148" s="27">
        <v>42473.826544678894</v>
      </c>
      <c r="Q148" s="27">
        <v>42686.195677402284</v>
      </c>
      <c r="R148" s="27">
        <v>42899.626655789296</v>
      </c>
      <c r="S148" s="27">
        <v>43114.124789068228</v>
      </c>
      <c r="T148" s="27">
        <v>43329.695413013571</v>
      </c>
      <c r="U148" s="27">
        <v>43546.34389007862</v>
      </c>
      <c r="V148" s="27">
        <v>43764.075609529013</v>
      </c>
      <c r="W148" s="27">
        <v>43982.89598757666</v>
      </c>
    </row>
    <row r="149" spans="1:46" x14ac:dyDescent="0.25">
      <c r="A149" s="13" t="str">
        <v>Outgoing mobile traffic to fixed networks</v>
      </c>
      <c r="D149" s="27">
        <v>10466.271972692308</v>
      </c>
      <c r="E149" s="27">
        <v>14525.108494615386</v>
      </c>
      <c r="F149" s="27">
        <v>18609.346544711541</v>
      </c>
      <c r="G149" s="27">
        <v>18493.020096923075</v>
      </c>
      <c r="H149" s="27">
        <v>18585.485197407696</v>
      </c>
      <c r="I149" s="27">
        <v>18678.412623394732</v>
      </c>
      <c r="J149" s="27">
        <v>18771.804686511703</v>
      </c>
      <c r="K149" s="27">
        <v>18865.663709944256</v>
      </c>
      <c r="L149" s="27">
        <v>18959.992028493976</v>
      </c>
      <c r="M149" s="27">
        <v>19054.791988636447</v>
      </c>
      <c r="N149" s="27">
        <v>19150.065948579628</v>
      </c>
      <c r="O149" s="27">
        <v>19245.816278322523</v>
      </c>
      <c r="P149" s="27">
        <v>19342.045359714131</v>
      </c>
      <c r="Q149" s="27">
        <v>19438.7555865127</v>
      </c>
      <c r="R149" s="27">
        <v>19535.949364445263</v>
      </c>
      <c r="S149" s="27">
        <v>19633.629111267488</v>
      </c>
      <c r="T149" s="27">
        <v>19731.797256823818</v>
      </c>
      <c r="U149" s="27">
        <v>19830.456243107932</v>
      </c>
      <c r="V149" s="27">
        <v>19929.608524323474</v>
      </c>
      <c r="W149" s="27">
        <v>20029.256566945089</v>
      </c>
    </row>
    <row r="150" spans="1:46" x14ac:dyDescent="0.25">
      <c r="A150" s="13" t="str">
        <v xml:space="preserve">International incoming fixed telephone traffic </v>
      </c>
      <c r="D150" s="27">
        <v>1595.3829682067308</v>
      </c>
      <c r="E150" s="27">
        <v>932.23397803846149</v>
      </c>
      <c r="F150" s="27">
        <v>651.83286418269233</v>
      </c>
      <c r="G150" s="27">
        <v>304.11816396923075</v>
      </c>
      <c r="H150" s="27">
        <v>305.63875478907698</v>
      </c>
      <c r="I150" s="27">
        <v>307.16694856302223</v>
      </c>
      <c r="J150" s="27">
        <v>308.70278330583733</v>
      </c>
      <c r="K150" s="27">
        <v>310.24629722236648</v>
      </c>
      <c r="L150" s="27">
        <v>311.79752870847824</v>
      </c>
      <c r="M150" s="27">
        <v>313.35651635202061</v>
      </c>
      <c r="N150" s="27">
        <v>314.9232989337807</v>
      </c>
      <c r="O150" s="27">
        <v>316.49791542844952</v>
      </c>
      <c r="P150" s="27">
        <v>318.08040500559179</v>
      </c>
      <c r="Q150" s="27">
        <v>319.67080703061976</v>
      </c>
      <c r="R150" s="27">
        <v>321.26916106577283</v>
      </c>
      <c r="S150" s="27">
        <v>322.87550687110161</v>
      </c>
      <c r="T150" s="27">
        <v>324.48988440545708</v>
      </c>
      <c r="U150" s="27">
        <v>326.11233382748446</v>
      </c>
      <c r="V150" s="27">
        <v>327.74289549662177</v>
      </c>
      <c r="W150" s="27">
        <v>329.38160997410483</v>
      </c>
    </row>
    <row r="151" spans="1:46" x14ac:dyDescent="0.25">
      <c r="A151" s="13" t="str">
        <v>International outgoing fixed telephone traffic</v>
      </c>
      <c r="D151" s="27">
        <v>1576.2206298461538</v>
      </c>
      <c r="E151" s="27">
        <v>470.63846945769234</v>
      </c>
      <c r="F151" s="27">
        <v>515.62554036057691</v>
      </c>
      <c r="G151" s="27">
        <v>437.58253550769234</v>
      </c>
      <c r="H151" s="27">
        <v>439.77044818523075</v>
      </c>
      <c r="I151" s="27">
        <v>441.96930042615685</v>
      </c>
      <c r="J151" s="27">
        <v>444.17914692828765</v>
      </c>
      <c r="K151" s="27">
        <v>446.40004266292897</v>
      </c>
      <c r="L151" s="27">
        <v>448.63204287624364</v>
      </c>
      <c r="M151" s="27">
        <v>450.87520309062472</v>
      </c>
      <c r="N151" s="27">
        <v>453.12957910607781</v>
      </c>
      <c r="O151" s="27">
        <v>455.39522700160813</v>
      </c>
      <c r="P151" s="27">
        <v>457.67220313661613</v>
      </c>
      <c r="Q151" s="27">
        <v>459.96056415229924</v>
      </c>
      <c r="R151" s="27">
        <v>462.26036697306057</v>
      </c>
      <c r="S151" s="27">
        <v>464.57166880792585</v>
      </c>
      <c r="T151" s="27">
        <v>466.89452715196541</v>
      </c>
      <c r="U151" s="27">
        <v>469.22899978772523</v>
      </c>
      <c r="V151" s="27">
        <v>471.57514478666383</v>
      </c>
      <c r="W151" s="27">
        <v>473.93302051059703</v>
      </c>
      <c r="X151" s="16"/>
    </row>
    <row r="152" spans="1:46" x14ac:dyDescent="0.25">
      <c r="D152" s="76"/>
      <c r="E152" s="76"/>
      <c r="F152" s="76"/>
      <c r="G152" s="76"/>
      <c r="H152" s="76"/>
      <c r="I152" s="76"/>
      <c r="J152" s="76"/>
      <c r="K152" s="76"/>
      <c r="L152" s="76"/>
      <c r="M152" s="76"/>
      <c r="N152" s="76"/>
      <c r="O152" s="76"/>
      <c r="P152" s="76"/>
      <c r="Q152" s="76"/>
      <c r="R152" s="76"/>
      <c r="S152" s="76"/>
      <c r="T152" s="76"/>
      <c r="U152" s="76"/>
      <c r="V152" s="76"/>
      <c r="W152" s="76"/>
      <c r="X152" s="16"/>
    </row>
    <row r="153" spans="1:46" x14ac:dyDescent="0.25">
      <c r="A153" s="13" t="s">
        <v>114</v>
      </c>
      <c r="D153" s="27">
        <f>SUM(D145:D151)</f>
        <v>91475.801095370189</v>
      </c>
      <c r="E153" s="27">
        <f t="shared" ref="E153:W153" si="20">SUM(E145:E151)</f>
        <v>93158.416558765399</v>
      </c>
      <c r="F153" s="27">
        <f t="shared" si="20"/>
        <v>99621.949458677904</v>
      </c>
      <c r="G153" s="27">
        <f t="shared" si="20"/>
        <v>96925.285026553858</v>
      </c>
      <c r="H153" s="27">
        <f t="shared" si="20"/>
        <v>97409.911451686596</v>
      </c>
      <c r="I153" s="27">
        <f t="shared" si="20"/>
        <v>97896.961008945029</v>
      </c>
      <c r="J153" s="27">
        <f t="shared" si="20"/>
        <v>98386.445813989747</v>
      </c>
      <c r="K153" s="27">
        <f t="shared" si="20"/>
        <v>98878.378043059696</v>
      </c>
      <c r="L153" s="27">
        <f t="shared" si="20"/>
        <v>99372.769933274962</v>
      </c>
      <c r="M153" s="27">
        <f t="shared" si="20"/>
        <v>99869.633782941324</v>
      </c>
      <c r="N153" s="27">
        <f t="shared" si="20"/>
        <v>100368.98195185603</v>
      </c>
      <c r="O153" s="27">
        <f t="shared" si="20"/>
        <v>100870.82686161529</v>
      </c>
      <c r="P153" s="27">
        <f t="shared" si="20"/>
        <v>101375.18099592335</v>
      </c>
      <c r="Q153" s="27">
        <f t="shared" si="20"/>
        <v>101882.05690090294</v>
      </c>
      <c r="R153" s="27">
        <f t="shared" si="20"/>
        <v>102391.46718540747</v>
      </c>
      <c r="S153" s="27">
        <f t="shared" si="20"/>
        <v>102903.42452133447</v>
      </c>
      <c r="T153" s="27">
        <f t="shared" si="20"/>
        <v>103417.94164394114</v>
      </c>
      <c r="U153" s="27">
        <f t="shared" si="20"/>
        <v>103935.0313521608</v>
      </c>
      <c r="V153" s="27">
        <f t="shared" si="20"/>
        <v>104454.7065089216</v>
      </c>
      <c r="W153" s="27">
        <f t="shared" si="20"/>
        <v>104976.98004146622</v>
      </c>
      <c r="X153" s="16" t="s">
        <v>115</v>
      </c>
      <c r="Z153" s="139">
        <f t="shared" ref="Z153:AS153" si="21">D153-D146-D148-D149</f>
        <v>33043.430088822111</v>
      </c>
      <c r="AA153" s="139">
        <f t="shared" si="21"/>
        <v>31514.174993457702</v>
      </c>
      <c r="AB153" s="139">
        <f t="shared" si="21"/>
        <v>29207.86461800482</v>
      </c>
      <c r="AC153" s="139">
        <f t="shared" si="21"/>
        <v>27228.229182553867</v>
      </c>
      <c r="AD153" s="139">
        <f t="shared" si="21"/>
        <v>27364.370328466597</v>
      </c>
      <c r="AE153" s="139">
        <f t="shared" si="21"/>
        <v>27501.192180108948</v>
      </c>
      <c r="AF153" s="139">
        <f t="shared" si="21"/>
        <v>27638.698141009485</v>
      </c>
      <c r="AG153" s="139">
        <f t="shared" si="21"/>
        <v>27776.891631714545</v>
      </c>
      <c r="AH153" s="139">
        <f t="shared" si="21"/>
        <v>27915.776089873088</v>
      </c>
      <c r="AI153" s="139">
        <f t="shared" si="21"/>
        <v>28055.354970322449</v>
      </c>
      <c r="AJ153" s="139">
        <f t="shared" si="21"/>
        <v>28195.631745174076</v>
      </c>
      <c r="AK153" s="139">
        <f t="shared" si="21"/>
        <v>28336.609903899927</v>
      </c>
      <c r="AL153" s="139">
        <f t="shared" si="21"/>
        <v>28478.292953419434</v>
      </c>
      <c r="AM153" s="139">
        <f t="shared" si="21"/>
        <v>28620.684418186524</v>
      </c>
      <c r="AN153" s="139">
        <f t="shared" si="21"/>
        <v>28763.787840277462</v>
      </c>
      <c r="AO153" s="139">
        <f t="shared" si="21"/>
        <v>28907.606779478832</v>
      </c>
      <c r="AP153" s="139">
        <f t="shared" si="21"/>
        <v>29052.144813376231</v>
      </c>
      <c r="AQ153" s="139">
        <f t="shared" si="21"/>
        <v>29197.40553744309</v>
      </c>
      <c r="AR153" s="139">
        <f t="shared" si="21"/>
        <v>29343.392565130311</v>
      </c>
      <c r="AS153" s="139">
        <f t="shared" si="21"/>
        <v>29490.109527955963</v>
      </c>
      <c r="AT153" s="16" t="s">
        <v>116</v>
      </c>
    </row>
    <row r="154" spans="1:46" x14ac:dyDescent="0.25">
      <c r="D154" s="76"/>
      <c r="E154" s="76"/>
      <c r="F154" s="76"/>
      <c r="G154" s="76"/>
      <c r="H154" s="76"/>
      <c r="I154" s="76"/>
      <c r="J154" s="76"/>
      <c r="K154" s="76"/>
      <c r="L154" s="76"/>
      <c r="M154" s="76"/>
      <c r="N154" s="76"/>
      <c r="O154" s="76"/>
      <c r="P154" s="76"/>
      <c r="Q154" s="76"/>
      <c r="R154" s="76"/>
      <c r="S154" s="76"/>
      <c r="T154" s="76"/>
      <c r="U154" s="76"/>
      <c r="V154" s="76"/>
      <c r="W154" s="76"/>
      <c r="X154" s="16"/>
      <c r="Z154" s="168"/>
      <c r="AA154" s="168"/>
      <c r="AB154" s="168"/>
      <c r="AC154" s="168"/>
      <c r="AD154" s="168"/>
      <c r="AE154" s="168"/>
      <c r="AF154" s="168"/>
      <c r="AG154" s="168"/>
      <c r="AH154" s="168"/>
      <c r="AI154" s="168"/>
      <c r="AJ154" s="168"/>
      <c r="AK154" s="168"/>
      <c r="AL154" s="168"/>
      <c r="AM154" s="168"/>
      <c r="AN154" s="168"/>
      <c r="AO154" s="168"/>
      <c r="AP154" s="168"/>
      <c r="AQ154" s="168"/>
      <c r="AR154" s="168"/>
      <c r="AS154" s="168"/>
      <c r="AT154" s="16"/>
    </row>
    <row r="155" spans="1:46" x14ac:dyDescent="0.25">
      <c r="A155" s="13" t="s">
        <v>117</v>
      </c>
      <c r="D155" s="49" t="s">
        <v>99</v>
      </c>
      <c r="E155" s="50"/>
      <c r="F155" s="50"/>
      <c r="G155" s="50"/>
      <c r="H155" s="50"/>
      <c r="I155" s="50"/>
      <c r="J155" s="50"/>
      <c r="K155" s="50"/>
      <c r="L155" s="50"/>
      <c r="M155" s="50"/>
      <c r="N155" s="50"/>
      <c r="O155" s="50"/>
      <c r="P155" s="50"/>
      <c r="Q155" s="50"/>
      <c r="R155" s="50"/>
      <c r="S155" s="50"/>
      <c r="T155" s="50"/>
      <c r="U155" s="50"/>
      <c r="V155" s="50"/>
      <c r="W155" s="50"/>
      <c r="Z155" s="49" t="s">
        <v>89</v>
      </c>
      <c r="AA155" s="50"/>
      <c r="AB155" s="50"/>
      <c r="AC155" s="50"/>
      <c r="AD155" s="50"/>
      <c r="AE155" s="50"/>
      <c r="AF155" s="50"/>
      <c r="AG155" s="50"/>
      <c r="AH155" s="50"/>
      <c r="AI155" s="50"/>
      <c r="AJ155" s="50"/>
      <c r="AK155" s="50"/>
      <c r="AL155" s="50"/>
      <c r="AM155" s="50"/>
      <c r="AN155" s="50"/>
      <c r="AO155" s="50"/>
      <c r="AP155" s="50"/>
      <c r="AQ155" s="50"/>
      <c r="AR155" s="50"/>
      <c r="AS155" s="50"/>
    </row>
    <row r="156" spans="1:46" x14ac:dyDescent="0.25">
      <c r="D156" s="53" cm="1">
        <f t="array" ref="D156:W156">years</f>
        <v>2018</v>
      </c>
      <c r="E156" s="53">
        <v>2019</v>
      </c>
      <c r="F156" s="53">
        <v>2020</v>
      </c>
      <c r="G156" s="53">
        <v>2021</v>
      </c>
      <c r="H156" s="53">
        <v>2022</v>
      </c>
      <c r="I156" s="53">
        <v>2023</v>
      </c>
      <c r="J156" s="53">
        <v>2024</v>
      </c>
      <c r="K156" s="53">
        <v>2025</v>
      </c>
      <c r="L156" s="53">
        <v>2026</v>
      </c>
      <c r="M156" s="53">
        <v>2027</v>
      </c>
      <c r="N156" s="53">
        <v>2028</v>
      </c>
      <c r="O156" s="53">
        <v>2029</v>
      </c>
      <c r="P156" s="53">
        <v>2030</v>
      </c>
      <c r="Q156" s="53">
        <v>2031</v>
      </c>
      <c r="R156" s="53">
        <v>2032</v>
      </c>
      <c r="S156" s="53">
        <v>2033</v>
      </c>
      <c r="T156" s="53">
        <v>2034</v>
      </c>
      <c r="U156" s="53">
        <v>2035</v>
      </c>
      <c r="V156" s="53">
        <v>2036</v>
      </c>
      <c r="W156" s="53">
        <v>2037</v>
      </c>
      <c r="Z156" s="53" cm="1">
        <f t="array" ref="Z156:AS156">years</f>
        <v>2018</v>
      </c>
      <c r="AA156" s="53">
        <v>2019</v>
      </c>
      <c r="AB156" s="53">
        <v>2020</v>
      </c>
      <c r="AC156" s="53">
        <v>2021</v>
      </c>
      <c r="AD156" s="53">
        <v>2022</v>
      </c>
      <c r="AE156" s="53">
        <v>2023</v>
      </c>
      <c r="AF156" s="53">
        <v>2024</v>
      </c>
      <c r="AG156" s="53">
        <v>2025</v>
      </c>
      <c r="AH156" s="53">
        <v>2026</v>
      </c>
      <c r="AI156" s="53">
        <v>2027</v>
      </c>
      <c r="AJ156" s="53">
        <v>2028</v>
      </c>
      <c r="AK156" s="53">
        <v>2029</v>
      </c>
      <c r="AL156" s="53">
        <v>2030</v>
      </c>
      <c r="AM156" s="53">
        <v>2031</v>
      </c>
      <c r="AN156" s="53">
        <v>2032</v>
      </c>
      <c r="AO156" s="53">
        <v>2033</v>
      </c>
      <c r="AP156" s="53">
        <v>2034</v>
      </c>
      <c r="AQ156" s="53">
        <v>2035</v>
      </c>
      <c r="AR156" s="53">
        <v>2036</v>
      </c>
      <c r="AS156" s="53">
        <v>2037</v>
      </c>
    </row>
    <row r="157" spans="1:46" x14ac:dyDescent="0.25">
      <c r="A157" s="13" t="str" cm="1">
        <f t="array" ref="A157:A163">fixed_services</f>
        <v>On-net fixed to fixed traffic</v>
      </c>
      <c r="D157" s="27" cm="1">
        <f t="array" ref="D157:W163">fixed_minutes_busy_hour_onnet_factor/sec_minute</f>
        <v>35846.191788923083</v>
      </c>
      <c r="E157" s="27">
        <v>36133.563055153849</v>
      </c>
      <c r="F157" s="27">
        <v>33648.487456153853</v>
      </c>
      <c r="G157" s="27">
        <v>31783.834179692309</v>
      </c>
      <c r="H157" s="27">
        <v>31942.753350590767</v>
      </c>
      <c r="I157" s="27">
        <v>32102.467117343716</v>
      </c>
      <c r="J157" s="27">
        <v>32262.979452930434</v>
      </c>
      <c r="K157" s="27">
        <v>32424.294350195079</v>
      </c>
      <c r="L157" s="27">
        <v>32586.415821946051</v>
      </c>
      <c r="M157" s="27">
        <v>32749.347901055775</v>
      </c>
      <c r="N157" s="27">
        <v>32913.094640561052</v>
      </c>
      <c r="O157" s="27">
        <v>33077.66011376385</v>
      </c>
      <c r="P157" s="27">
        <v>33243.048414332668</v>
      </c>
      <c r="Q157" s="27">
        <v>33409.263656404328</v>
      </c>
      <c r="R157" s="27">
        <v>33576.309974686345</v>
      </c>
      <c r="S157" s="27">
        <v>33744.191524559777</v>
      </c>
      <c r="T157" s="27">
        <v>33912.912482182575</v>
      </c>
      <c r="U157" s="27">
        <v>34082.477044593477</v>
      </c>
      <c r="V157" s="27">
        <v>34252.889429816445</v>
      </c>
      <c r="W157" s="27">
        <v>34424.153876965524</v>
      </c>
    </row>
    <row r="158" spans="1:46" x14ac:dyDescent="0.25">
      <c r="A158" s="13" t="str">
        <v>Incoming fixed to fixed traffic</v>
      </c>
      <c r="D158" s="27">
        <v>11948.730596307692</v>
      </c>
      <c r="E158" s="27">
        <v>12044.521018384616</v>
      </c>
      <c r="F158" s="27">
        <v>11216.162485384615</v>
      </c>
      <c r="G158" s="27">
        <v>10594.611393230769</v>
      </c>
      <c r="H158" s="27">
        <v>10647.58445019692</v>
      </c>
      <c r="I158" s="27">
        <v>10700.822372447905</v>
      </c>
      <c r="J158" s="27">
        <v>10754.326484310144</v>
      </c>
      <c r="K158" s="27">
        <v>10808.098116731695</v>
      </c>
      <c r="L158" s="27">
        <v>10862.13860731535</v>
      </c>
      <c r="M158" s="27">
        <v>10916.449300351927</v>
      </c>
      <c r="N158" s="27">
        <v>10971.031546853685</v>
      </c>
      <c r="O158" s="27">
        <v>11025.886704587952</v>
      </c>
      <c r="P158" s="27">
        <v>11081.01613811089</v>
      </c>
      <c r="Q158" s="27">
        <v>11136.421218801443</v>
      </c>
      <c r="R158" s="27">
        <v>11192.103324895446</v>
      </c>
      <c r="S158" s="27">
        <v>11248.063841519925</v>
      </c>
      <c r="T158" s="27">
        <v>11304.304160727525</v>
      </c>
      <c r="U158" s="27">
        <v>11360.825681531158</v>
      </c>
      <c r="V158" s="27">
        <v>11417.629809938811</v>
      </c>
      <c r="W158" s="27">
        <v>11474.717958988505</v>
      </c>
    </row>
    <row r="159" spans="1:46" x14ac:dyDescent="0.25">
      <c r="A159" s="13" t="str">
        <v>Off-net fixed to fixed traffic</v>
      </c>
      <c r="D159" s="27">
        <v>11948.730596307692</v>
      </c>
      <c r="E159" s="27">
        <v>12044.521018384616</v>
      </c>
      <c r="F159" s="27">
        <v>11216.162485384615</v>
      </c>
      <c r="G159" s="27">
        <v>10594.611393230769</v>
      </c>
      <c r="H159" s="27">
        <v>10647.58445019692</v>
      </c>
      <c r="I159" s="27">
        <v>10700.822372447905</v>
      </c>
      <c r="J159" s="27">
        <v>10754.326484310144</v>
      </c>
      <c r="K159" s="27">
        <v>10808.098116731695</v>
      </c>
      <c r="L159" s="27">
        <v>10862.13860731535</v>
      </c>
      <c r="M159" s="27">
        <v>10916.449300351927</v>
      </c>
      <c r="N159" s="27">
        <v>10971.031546853685</v>
      </c>
      <c r="O159" s="27">
        <v>11025.886704587952</v>
      </c>
      <c r="P159" s="27">
        <v>11081.01613811089</v>
      </c>
      <c r="Q159" s="27">
        <v>11136.421218801443</v>
      </c>
      <c r="R159" s="27">
        <v>11192.103324895446</v>
      </c>
      <c r="S159" s="27">
        <v>11248.063841519925</v>
      </c>
      <c r="T159" s="27">
        <v>11304.304160727525</v>
      </c>
      <c r="U159" s="27">
        <v>11360.825681531158</v>
      </c>
      <c r="V159" s="27">
        <v>11417.629809938811</v>
      </c>
      <c r="W159" s="27">
        <v>11474.717958988505</v>
      </c>
    </row>
    <row r="160" spans="1:46" x14ac:dyDescent="0.25">
      <c r="A160" s="13" t="str">
        <v>Fixed to Mobile Telephone traffic</v>
      </c>
      <c r="D160" s="27">
        <v>36017.368437548073</v>
      </c>
      <c r="E160" s="27">
        <v>35074.61205230769</v>
      </c>
      <c r="F160" s="27">
        <v>40588.575810576927</v>
      </c>
      <c r="G160" s="27">
        <v>40609.424353846152</v>
      </c>
      <c r="H160" s="27">
        <v>40812.471475615377</v>
      </c>
      <c r="I160" s="27">
        <v>41016.533832993446</v>
      </c>
      <c r="J160" s="27">
        <v>41221.616502158409</v>
      </c>
      <c r="K160" s="27">
        <v>41427.724584669202</v>
      </c>
      <c r="L160" s="27">
        <v>41634.863207592542</v>
      </c>
      <c r="M160" s="27">
        <v>41843.037523630497</v>
      </c>
      <c r="N160" s="27">
        <v>42052.252711248635</v>
      </c>
      <c r="O160" s="27">
        <v>42262.513974804882</v>
      </c>
      <c r="P160" s="27">
        <v>42473.826544678894</v>
      </c>
      <c r="Q160" s="27">
        <v>42686.195677402284</v>
      </c>
      <c r="R160" s="27">
        <v>42899.626655789296</v>
      </c>
      <c r="S160" s="27">
        <v>43114.124789068228</v>
      </c>
      <c r="T160" s="27">
        <v>43329.695413013571</v>
      </c>
      <c r="U160" s="27">
        <v>43546.34389007862</v>
      </c>
      <c r="V160" s="27">
        <v>43764.075609529013</v>
      </c>
      <c r="W160" s="27">
        <v>43982.89598757666</v>
      </c>
    </row>
    <row r="161" spans="1:46" x14ac:dyDescent="0.25">
      <c r="A161" s="13" t="str">
        <v>Outgoing mobile traffic to fixed networks</v>
      </c>
      <c r="D161" s="27">
        <v>10466.271972692308</v>
      </c>
      <c r="E161" s="27">
        <v>14525.108494615386</v>
      </c>
      <c r="F161" s="27">
        <v>18609.346544711541</v>
      </c>
      <c r="G161" s="27">
        <v>18493.020096923075</v>
      </c>
      <c r="H161" s="27">
        <v>18585.485197407696</v>
      </c>
      <c r="I161" s="27">
        <v>18678.412623394732</v>
      </c>
      <c r="J161" s="27">
        <v>18771.804686511703</v>
      </c>
      <c r="K161" s="27">
        <v>18865.663709944256</v>
      </c>
      <c r="L161" s="27">
        <v>18959.992028493976</v>
      </c>
      <c r="M161" s="27">
        <v>19054.791988636447</v>
      </c>
      <c r="N161" s="27">
        <v>19150.065948579628</v>
      </c>
      <c r="O161" s="27">
        <v>19245.816278322523</v>
      </c>
      <c r="P161" s="27">
        <v>19342.045359714131</v>
      </c>
      <c r="Q161" s="27">
        <v>19438.7555865127</v>
      </c>
      <c r="R161" s="27">
        <v>19535.949364445263</v>
      </c>
      <c r="S161" s="27">
        <v>19633.629111267488</v>
      </c>
      <c r="T161" s="27">
        <v>19731.797256823818</v>
      </c>
      <c r="U161" s="27">
        <v>19830.456243107932</v>
      </c>
      <c r="V161" s="27">
        <v>19929.608524323474</v>
      </c>
      <c r="W161" s="27">
        <v>20029.256566945089</v>
      </c>
    </row>
    <row r="162" spans="1:46" x14ac:dyDescent="0.25">
      <c r="A162" s="13" t="str">
        <v xml:space="preserve">International incoming fixed telephone traffic </v>
      </c>
      <c r="D162" s="27">
        <v>1595.3829682067308</v>
      </c>
      <c r="E162" s="27">
        <v>932.23397803846149</v>
      </c>
      <c r="F162" s="27">
        <v>651.83286418269233</v>
      </c>
      <c r="G162" s="27">
        <v>304.11816396923075</v>
      </c>
      <c r="H162" s="27">
        <v>305.63875478907698</v>
      </c>
      <c r="I162" s="27">
        <v>307.16694856302223</v>
      </c>
      <c r="J162" s="27">
        <v>308.70278330583733</v>
      </c>
      <c r="K162" s="27">
        <v>310.24629722236648</v>
      </c>
      <c r="L162" s="27">
        <v>311.79752870847824</v>
      </c>
      <c r="M162" s="27">
        <v>313.35651635202061</v>
      </c>
      <c r="N162" s="27">
        <v>314.9232989337807</v>
      </c>
      <c r="O162" s="27">
        <v>316.49791542844952</v>
      </c>
      <c r="P162" s="27">
        <v>318.08040500559179</v>
      </c>
      <c r="Q162" s="27">
        <v>319.67080703061976</v>
      </c>
      <c r="R162" s="27">
        <v>321.26916106577283</v>
      </c>
      <c r="S162" s="27">
        <v>322.87550687110161</v>
      </c>
      <c r="T162" s="27">
        <v>324.48988440545708</v>
      </c>
      <c r="U162" s="27">
        <v>326.11233382748446</v>
      </c>
      <c r="V162" s="27">
        <v>327.74289549662177</v>
      </c>
      <c r="W162" s="27">
        <v>329.38160997410483</v>
      </c>
    </row>
    <row r="163" spans="1:46" x14ac:dyDescent="0.25">
      <c r="A163" s="13" t="str">
        <v>International outgoing fixed telephone traffic</v>
      </c>
      <c r="D163" s="27">
        <v>1576.2206298461538</v>
      </c>
      <c r="E163" s="27">
        <v>470.63846945769234</v>
      </c>
      <c r="F163" s="27">
        <v>515.62554036057691</v>
      </c>
      <c r="G163" s="27">
        <v>437.58253550769234</v>
      </c>
      <c r="H163" s="27">
        <v>439.77044818523075</v>
      </c>
      <c r="I163" s="27">
        <v>441.96930042615685</v>
      </c>
      <c r="J163" s="27">
        <v>444.17914692828765</v>
      </c>
      <c r="K163" s="27">
        <v>446.40004266292897</v>
      </c>
      <c r="L163" s="27">
        <v>448.63204287624364</v>
      </c>
      <c r="M163" s="27">
        <v>450.87520309062472</v>
      </c>
      <c r="N163" s="27">
        <v>453.12957910607781</v>
      </c>
      <c r="O163" s="27">
        <v>455.39522700160813</v>
      </c>
      <c r="P163" s="27">
        <v>457.67220313661613</v>
      </c>
      <c r="Q163" s="27">
        <v>459.96056415229924</v>
      </c>
      <c r="R163" s="27">
        <v>462.26036697306057</v>
      </c>
      <c r="S163" s="27">
        <v>464.57166880792585</v>
      </c>
      <c r="T163" s="27">
        <v>466.89452715196541</v>
      </c>
      <c r="U163" s="27">
        <v>469.22899978772523</v>
      </c>
      <c r="V163" s="27">
        <v>471.57514478666383</v>
      </c>
      <c r="W163" s="27">
        <v>473.93302051059703</v>
      </c>
      <c r="X163" s="16"/>
    </row>
    <row r="164" spans="1:46" x14ac:dyDescent="0.25">
      <c r="D164" s="76"/>
      <c r="E164" s="76"/>
      <c r="F164" s="76"/>
      <c r="G164" s="76"/>
      <c r="H164" s="76"/>
      <c r="I164" s="76"/>
      <c r="J164" s="76"/>
      <c r="K164" s="76"/>
      <c r="L164" s="76"/>
      <c r="M164" s="76"/>
      <c r="N164" s="76"/>
      <c r="O164" s="76"/>
      <c r="P164" s="76"/>
      <c r="Q164" s="76"/>
      <c r="R164" s="76"/>
      <c r="S164" s="76"/>
      <c r="T164" s="76"/>
      <c r="U164" s="76"/>
      <c r="V164" s="76"/>
      <c r="W164" s="76"/>
      <c r="X164" s="16"/>
    </row>
    <row r="165" spans="1:46" x14ac:dyDescent="0.25">
      <c r="A165" s="13" t="s">
        <v>118</v>
      </c>
      <c r="D165" s="27">
        <f>SUM(D157:D163)</f>
        <v>109398.89698983174</v>
      </c>
      <c r="E165" s="27">
        <f t="shared" ref="E165:W165" si="22">SUM(E157:E163)</f>
        <v>111225.19808634231</v>
      </c>
      <c r="F165" s="27">
        <f t="shared" si="22"/>
        <v>116446.19318675483</v>
      </c>
      <c r="G165" s="27">
        <f t="shared" si="22"/>
        <v>112817.2021164</v>
      </c>
      <c r="H165" s="27">
        <f t="shared" si="22"/>
        <v>113381.28812698198</v>
      </c>
      <c r="I165" s="27">
        <f t="shared" si="22"/>
        <v>113948.19456761687</v>
      </c>
      <c r="J165" s="27">
        <f t="shared" si="22"/>
        <v>114517.93554045496</v>
      </c>
      <c r="K165" s="27">
        <f t="shared" si="22"/>
        <v>115090.52521815724</v>
      </c>
      <c r="L165" s="27">
        <f t="shared" si="22"/>
        <v>115665.97784424799</v>
      </c>
      <c r="M165" s="27">
        <f t="shared" si="22"/>
        <v>116244.30773346921</v>
      </c>
      <c r="N165" s="27">
        <f t="shared" si="22"/>
        <v>116825.52927213654</v>
      </c>
      <c r="O165" s="27">
        <f t="shared" si="22"/>
        <v>117409.65691849722</v>
      </c>
      <c r="P165" s="27">
        <f t="shared" si="22"/>
        <v>117996.70520308969</v>
      </c>
      <c r="Q165" s="27">
        <f t="shared" si="22"/>
        <v>118586.68872910511</v>
      </c>
      <c r="R165" s="27">
        <f t="shared" si="22"/>
        <v>119179.62217275063</v>
      </c>
      <c r="S165" s="27">
        <f t="shared" si="22"/>
        <v>119775.52028361437</v>
      </c>
      <c r="T165" s="27">
        <f t="shared" si="22"/>
        <v>120374.39788503243</v>
      </c>
      <c r="U165" s="27">
        <f t="shared" si="22"/>
        <v>120976.26987445755</v>
      </c>
      <c r="V165" s="27">
        <f t="shared" si="22"/>
        <v>121581.15122382983</v>
      </c>
      <c r="W165" s="27">
        <f t="shared" si="22"/>
        <v>122189.05697994897</v>
      </c>
      <c r="X165" s="16" t="s">
        <v>119</v>
      </c>
      <c r="Z165" s="139">
        <f t="shared" ref="Z165:AS165" si="23">D165-D158-D160-D161</f>
        <v>50966.525983283667</v>
      </c>
      <c r="AA165" s="139">
        <f t="shared" si="23"/>
        <v>49580.956521034612</v>
      </c>
      <c r="AB165" s="139">
        <f t="shared" si="23"/>
        <v>46032.108346081746</v>
      </c>
      <c r="AC165" s="139">
        <f t="shared" si="23"/>
        <v>43120.146272400016</v>
      </c>
      <c r="AD165" s="139">
        <f t="shared" si="23"/>
        <v>43335.747003761979</v>
      </c>
      <c r="AE165" s="139">
        <f t="shared" si="23"/>
        <v>43552.425738780788</v>
      </c>
      <c r="AF165" s="139">
        <f t="shared" si="23"/>
        <v>43770.187867474699</v>
      </c>
      <c r="AG165" s="139">
        <f t="shared" si="23"/>
        <v>43989.038806812096</v>
      </c>
      <c r="AH165" s="139">
        <f t="shared" si="23"/>
        <v>44208.984000846118</v>
      </c>
      <c r="AI165" s="139">
        <f t="shared" si="23"/>
        <v>44430.028920850331</v>
      </c>
      <c r="AJ165" s="139">
        <f t="shared" si="23"/>
        <v>44652.179065454591</v>
      </c>
      <c r="AK165" s="139">
        <f t="shared" si="23"/>
        <v>44875.439960781863</v>
      </c>
      <c r="AL165" s="139">
        <f t="shared" si="23"/>
        <v>45099.817160585771</v>
      </c>
      <c r="AM165" s="139">
        <f t="shared" si="23"/>
        <v>45325.316246388691</v>
      </c>
      <c r="AN165" s="139">
        <f t="shared" si="23"/>
        <v>45551.942827620631</v>
      </c>
      <c r="AO165" s="139">
        <f t="shared" si="23"/>
        <v>45779.702541758736</v>
      </c>
      <c r="AP165" s="139">
        <f t="shared" si="23"/>
        <v>46008.601054467523</v>
      </c>
      <c r="AQ165" s="139">
        <f t="shared" si="23"/>
        <v>46238.64405973984</v>
      </c>
      <c r="AR165" s="139">
        <f t="shared" si="23"/>
        <v>46469.83728003854</v>
      </c>
      <c r="AS165" s="139">
        <f t="shared" si="23"/>
        <v>46702.186466438725</v>
      </c>
      <c r="AT165" s="16" t="s">
        <v>120</v>
      </c>
    </row>
    <row r="167" spans="1:46" s="49" customFormat="1" x14ac:dyDescent="0.25">
      <c r="A167" s="49" t="s">
        <v>121</v>
      </c>
    </row>
    <row r="169" spans="1:46" x14ac:dyDescent="0.25">
      <c r="A169"/>
      <c r="C169"/>
      <c r="D169" s="53" cm="1">
        <f t="array" ref="D169:W169">years</f>
        <v>2018</v>
      </c>
      <c r="E169" s="53">
        <v>2019</v>
      </c>
      <c r="F169" s="53">
        <v>2020</v>
      </c>
      <c r="G169" s="53">
        <v>2021</v>
      </c>
      <c r="H169" s="53">
        <v>2022</v>
      </c>
      <c r="I169" s="53">
        <v>2023</v>
      </c>
      <c r="J169" s="53">
        <v>2024</v>
      </c>
      <c r="K169" s="53">
        <v>2025</v>
      </c>
      <c r="L169" s="53">
        <v>2026</v>
      </c>
      <c r="M169" s="53">
        <v>2027</v>
      </c>
      <c r="N169" s="53">
        <v>2028</v>
      </c>
      <c r="O169" s="53">
        <v>2029</v>
      </c>
      <c r="P169" s="53">
        <v>2030</v>
      </c>
      <c r="Q169" s="53">
        <v>2031</v>
      </c>
      <c r="R169" s="53">
        <v>2032</v>
      </c>
      <c r="S169" s="53">
        <v>2033</v>
      </c>
      <c r="T169" s="53">
        <v>2034</v>
      </c>
      <c r="U169" s="53">
        <v>2035</v>
      </c>
      <c r="V169" s="53">
        <v>2036</v>
      </c>
      <c r="W169" s="53">
        <v>2037</v>
      </c>
    </row>
    <row r="170" spans="1:46" x14ac:dyDescent="0.25">
      <c r="A170" s="18" t="s">
        <v>122</v>
      </c>
      <c r="B170" s="18" t="s">
        <v>123</v>
      </c>
      <c r="C170" s="18"/>
      <c r="D170" s="17">
        <f t="shared" ref="D170:K170" si="24">D66+D69+D70</f>
        <v>5130635085</v>
      </c>
      <c r="E170" s="17">
        <f t="shared" si="24"/>
        <v>5876708040</v>
      </c>
      <c r="F170" s="17">
        <f t="shared" si="24"/>
        <v>6512520150</v>
      </c>
      <c r="G170" s="17">
        <f t="shared" si="24"/>
        <v>6280546464</v>
      </c>
      <c r="H170" s="17">
        <f t="shared" si="24"/>
        <v>6311949196.3199997</v>
      </c>
      <c r="I170" s="17">
        <f t="shared" si="24"/>
        <v>6343508942.3015985</v>
      </c>
      <c r="J170" s="17">
        <f t="shared" si="24"/>
        <v>6375226487.0131063</v>
      </c>
      <c r="K170" s="17">
        <f t="shared" si="24"/>
        <v>6407102619.4481707</v>
      </c>
      <c r="L170" s="17">
        <f t="shared" ref="L170:W170" si="25">L66+L69+L70</f>
        <v>6439138132.5454111</v>
      </c>
      <c r="M170" s="17">
        <f t="shared" si="25"/>
        <v>6471333823.2081385</v>
      </c>
      <c r="N170" s="17">
        <f t="shared" si="25"/>
        <v>6503690492.3241777</v>
      </c>
      <c r="O170" s="17">
        <f t="shared" si="25"/>
        <v>6536208944.7857981</v>
      </c>
      <c r="P170" s="17">
        <f t="shared" si="25"/>
        <v>6568889989.5097256</v>
      </c>
      <c r="Q170" s="17">
        <f t="shared" si="25"/>
        <v>6601734439.4572735</v>
      </c>
      <c r="R170" s="17">
        <f t="shared" si="25"/>
        <v>6634743111.6545591</v>
      </c>
      <c r="S170" s="17">
        <f t="shared" si="25"/>
        <v>6667916827.2128315</v>
      </c>
      <c r="T170" s="17">
        <f t="shared" si="25"/>
        <v>6701256411.3488951</v>
      </c>
      <c r="U170" s="17">
        <f t="shared" si="25"/>
        <v>6734762693.4056377</v>
      </c>
      <c r="V170" s="17">
        <f t="shared" si="25"/>
        <v>6768436506.8726654</v>
      </c>
      <c r="W170" s="17">
        <f t="shared" si="25"/>
        <v>6802278689.4070282</v>
      </c>
      <c r="X170" s="16" t="s">
        <v>124</v>
      </c>
      <c r="Y170" s="24"/>
      <c r="Z170" s="24"/>
      <c r="AA170" s="24"/>
      <c r="AB170" s="24"/>
      <c r="AC170" s="24"/>
    </row>
  </sheetData>
  <phoneticPr fontId="1" type="noConversion"/>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BD908-4D53-4693-ADEE-DCA449317818}">
  <dimension ref="A1:BP124"/>
  <sheetViews>
    <sheetView topLeftCell="AL86" zoomScale="80" zoomScaleNormal="80" workbookViewId="0">
      <selection activeCell="AT111" sqref="AT111"/>
    </sheetView>
  </sheetViews>
  <sheetFormatPr defaultColWidth="8.5703125" defaultRowHeight="15" x14ac:dyDescent="0.25"/>
  <cols>
    <col min="1" max="1" width="67.5703125" style="13" customWidth="1"/>
    <col min="2" max="2" width="38.5703125" style="13" bestFit="1" customWidth="1"/>
    <col min="3" max="3" width="17.5703125" style="13" bestFit="1" customWidth="1"/>
    <col min="4" max="23" width="10.7109375" style="13" customWidth="1"/>
    <col min="24" max="24" width="17.7109375" style="13" bestFit="1" customWidth="1"/>
    <col min="25" max="25" width="12.42578125" style="13" bestFit="1" customWidth="1"/>
    <col min="26" max="45" width="15.7109375" style="13" customWidth="1"/>
    <col min="46" max="46" width="35.42578125" style="13" bestFit="1" customWidth="1"/>
    <col min="47" max="47" width="8.5703125" style="13"/>
    <col min="48" max="67" width="15.7109375" style="13" customWidth="1"/>
    <col min="68" max="16384" width="8.5703125" style="13"/>
  </cols>
  <sheetData>
    <row r="1" spans="1:45" ht="18.75" x14ac:dyDescent="0.3">
      <c r="A1" s="90" t="s">
        <v>125</v>
      </c>
      <c r="B1" s="90"/>
      <c r="C1" s="90"/>
      <c r="D1" s="92"/>
      <c r="E1" s="92"/>
      <c r="F1" s="92"/>
      <c r="G1" s="92"/>
      <c r="H1" s="92"/>
      <c r="I1" s="92"/>
      <c r="J1" s="92"/>
      <c r="K1" s="92"/>
      <c r="L1" s="92"/>
    </row>
    <row r="3" spans="1:45" x14ac:dyDescent="0.25">
      <c r="A3" s="19" t="s">
        <v>126</v>
      </c>
    </row>
    <row r="4" spans="1:45" x14ac:dyDescent="0.25">
      <c r="A4" s="19"/>
    </row>
    <row r="5" spans="1:45" x14ac:dyDescent="0.25">
      <c r="A5" s="19" t="s">
        <v>127</v>
      </c>
      <c r="C5" s="10">
        <v>0.8</v>
      </c>
      <c r="D5" s="16" t="s">
        <v>128</v>
      </c>
    </row>
    <row r="6" spans="1:45" x14ac:dyDescent="0.25">
      <c r="A6" s="13" t="s">
        <v>129</v>
      </c>
      <c r="B6" s="19"/>
      <c r="C6" s="10">
        <v>2</v>
      </c>
      <c r="D6" s="16" t="s">
        <v>130</v>
      </c>
    </row>
    <row r="7" spans="1:45" x14ac:dyDescent="0.25">
      <c r="A7" s="22"/>
    </row>
    <row r="8" spans="1:45" x14ac:dyDescent="0.25">
      <c r="A8" s="22" t="s">
        <v>372</v>
      </c>
    </row>
    <row r="9" spans="1:45" x14ac:dyDescent="0.25">
      <c r="D9" s="22"/>
      <c r="Z9" s="22"/>
    </row>
    <row r="10" spans="1:45" x14ac:dyDescent="0.25">
      <c r="A10" s="13" t="s">
        <v>132</v>
      </c>
      <c r="D10" s="22"/>
      <c r="Z10" s="22"/>
    </row>
    <row r="11" spans="1:45" x14ac:dyDescent="0.25">
      <c r="A11" s="13" t="s">
        <v>133</v>
      </c>
      <c r="D11" s="22"/>
      <c r="Z11" s="22"/>
    </row>
    <row r="12" spans="1:45" x14ac:dyDescent="0.25">
      <c r="B12" s="115"/>
      <c r="D12" s="49" t="s">
        <v>99</v>
      </c>
      <c r="E12" s="50"/>
      <c r="F12" s="50"/>
      <c r="G12" s="50"/>
      <c r="H12" s="50"/>
      <c r="I12" s="50"/>
      <c r="J12" s="50"/>
      <c r="K12" s="50"/>
      <c r="L12" s="50"/>
      <c r="M12" s="50"/>
      <c r="N12" s="50"/>
      <c r="O12" s="50"/>
      <c r="P12" s="50"/>
      <c r="Q12" s="50"/>
      <c r="R12" s="50"/>
      <c r="S12" s="50"/>
      <c r="T12" s="50"/>
      <c r="U12" s="50"/>
      <c r="V12" s="50"/>
      <c r="W12" s="50"/>
      <c r="Z12" s="49" t="s">
        <v>131</v>
      </c>
      <c r="AA12" s="50"/>
      <c r="AB12" s="50"/>
      <c r="AC12" s="50"/>
      <c r="AD12" s="50"/>
      <c r="AE12" s="50"/>
      <c r="AF12" s="50"/>
      <c r="AG12" s="50"/>
      <c r="AH12" s="50"/>
      <c r="AI12" s="50"/>
      <c r="AJ12" s="50"/>
      <c r="AK12" s="50"/>
      <c r="AL12" s="50"/>
      <c r="AM12" s="50"/>
      <c r="AN12" s="50"/>
      <c r="AO12" s="50"/>
      <c r="AP12" s="50"/>
      <c r="AQ12" s="50"/>
      <c r="AR12" s="50"/>
      <c r="AS12" s="50"/>
    </row>
    <row r="13" spans="1:45" x14ac:dyDescent="0.25">
      <c r="AA13"/>
    </row>
    <row r="14" spans="1:45" x14ac:dyDescent="0.25">
      <c r="A14" s="130" t="s">
        <v>134</v>
      </c>
      <c r="B14" s="30" t="s">
        <v>135</v>
      </c>
      <c r="C14" s="30" t="s">
        <v>23</v>
      </c>
      <c r="D14" s="53" cm="1">
        <f t="array" ref="D14:W14">years</f>
        <v>2018</v>
      </c>
      <c r="E14" s="53">
        <v>2019</v>
      </c>
      <c r="F14" s="53">
        <v>2020</v>
      </c>
      <c r="G14" s="53">
        <v>2021</v>
      </c>
      <c r="H14" s="53">
        <v>2022</v>
      </c>
      <c r="I14" s="53">
        <v>2023</v>
      </c>
      <c r="J14" s="53">
        <v>2024</v>
      </c>
      <c r="K14" s="53">
        <v>2025</v>
      </c>
      <c r="L14" s="53">
        <v>2026</v>
      </c>
      <c r="M14" s="53">
        <v>2027</v>
      </c>
      <c r="N14" s="53">
        <v>2028</v>
      </c>
      <c r="O14" s="53">
        <v>2029</v>
      </c>
      <c r="P14" s="53">
        <v>2030</v>
      </c>
      <c r="Q14" s="53">
        <v>2031</v>
      </c>
      <c r="R14" s="53">
        <v>2032</v>
      </c>
      <c r="S14" s="53">
        <v>2033</v>
      </c>
      <c r="T14" s="53">
        <v>2034</v>
      </c>
      <c r="U14" s="53">
        <v>2035</v>
      </c>
      <c r="V14" s="53">
        <v>2036</v>
      </c>
      <c r="W14" s="53">
        <v>2037</v>
      </c>
      <c r="X14" s="182"/>
      <c r="Z14" s="53" cm="1">
        <f t="array" ref="Z14:AS14">years</f>
        <v>2018</v>
      </c>
      <c r="AA14" s="53">
        <v>2019</v>
      </c>
      <c r="AB14" s="53">
        <v>2020</v>
      </c>
      <c r="AC14" s="53">
        <v>2021</v>
      </c>
      <c r="AD14" s="53">
        <v>2022</v>
      </c>
      <c r="AE14" s="53">
        <v>2023</v>
      </c>
      <c r="AF14" s="53">
        <v>2024</v>
      </c>
      <c r="AG14" s="53">
        <v>2025</v>
      </c>
      <c r="AH14" s="53">
        <v>2026</v>
      </c>
      <c r="AI14" s="53">
        <v>2027</v>
      </c>
      <c r="AJ14" s="53">
        <v>2028</v>
      </c>
      <c r="AK14" s="53">
        <v>2029</v>
      </c>
      <c r="AL14" s="53">
        <v>2030</v>
      </c>
      <c r="AM14" s="53">
        <v>2031</v>
      </c>
      <c r="AN14" s="53">
        <v>2032</v>
      </c>
      <c r="AO14" s="53">
        <v>2033</v>
      </c>
      <c r="AP14" s="53">
        <v>2034</v>
      </c>
      <c r="AQ14" s="53">
        <v>2035</v>
      </c>
      <c r="AR14" s="53">
        <v>2036</v>
      </c>
      <c r="AS14" s="53">
        <v>2037</v>
      </c>
    </row>
    <row r="15" spans="1:45" x14ac:dyDescent="0.25">
      <c r="A15" s="7" t="s">
        <v>136</v>
      </c>
      <c r="B15" s="7" t="str">
        <f>'2 Dimensioning'!B40</f>
        <v>Calls per second</v>
      </c>
      <c r="C15" s="18" t="s">
        <v>137</v>
      </c>
      <c r="D15" s="212" cm="1">
        <f t="array" ref="D15:W15">ROUNDUP((fixed_calls_persecond_onnet_factor/max_load)/as_hardware,0)*redundancy</f>
        <v>4</v>
      </c>
      <c r="E15" s="212">
        <v>4</v>
      </c>
      <c r="F15" s="212">
        <v>4</v>
      </c>
      <c r="G15" s="212">
        <v>4</v>
      </c>
      <c r="H15" s="212">
        <v>4</v>
      </c>
      <c r="I15" s="212">
        <v>4</v>
      </c>
      <c r="J15" s="212">
        <v>4</v>
      </c>
      <c r="K15" s="212">
        <v>4</v>
      </c>
      <c r="L15" s="212">
        <v>4</v>
      </c>
      <c r="M15" s="212">
        <v>4</v>
      </c>
      <c r="N15" s="212">
        <v>4</v>
      </c>
      <c r="O15" s="212">
        <v>4</v>
      </c>
      <c r="P15" s="212">
        <v>4</v>
      </c>
      <c r="Q15" s="212">
        <v>4</v>
      </c>
      <c r="R15" s="212">
        <v>4</v>
      </c>
      <c r="S15" s="212">
        <v>4</v>
      </c>
      <c r="T15" s="212">
        <v>4</v>
      </c>
      <c r="U15" s="212">
        <v>4</v>
      </c>
      <c r="V15" s="212">
        <v>4</v>
      </c>
      <c r="W15" s="212">
        <v>4</v>
      </c>
      <c r="X15" s="85"/>
      <c r="Z15" s="212" cm="1">
        <f t="array" ref="Z15:AS15">ROUNDUP((fixed_calls_persecond_onnet_factor_noincoming/max_load)/as_hardware,0)*redundancy</f>
        <v>2</v>
      </c>
      <c r="AA15" s="212">
        <v>2</v>
      </c>
      <c r="AB15" s="212">
        <v>2</v>
      </c>
      <c r="AC15" s="212">
        <v>2</v>
      </c>
      <c r="AD15" s="212">
        <v>2</v>
      </c>
      <c r="AE15" s="212">
        <v>2</v>
      </c>
      <c r="AF15" s="212">
        <v>2</v>
      </c>
      <c r="AG15" s="212">
        <v>2</v>
      </c>
      <c r="AH15" s="212">
        <v>2</v>
      </c>
      <c r="AI15" s="212">
        <v>2</v>
      </c>
      <c r="AJ15" s="212">
        <v>2</v>
      </c>
      <c r="AK15" s="212">
        <v>2</v>
      </c>
      <c r="AL15" s="212">
        <v>2</v>
      </c>
      <c r="AM15" s="212">
        <v>2</v>
      </c>
      <c r="AN15" s="212">
        <v>2</v>
      </c>
      <c r="AO15" s="212">
        <v>2</v>
      </c>
      <c r="AP15" s="212">
        <v>2</v>
      </c>
      <c r="AQ15" s="212">
        <v>2</v>
      </c>
      <c r="AR15" s="212">
        <v>2</v>
      </c>
      <c r="AS15" s="212">
        <v>2</v>
      </c>
    </row>
    <row r="16" spans="1:45" x14ac:dyDescent="0.25">
      <c r="A16" s="7" t="s">
        <v>138</v>
      </c>
      <c r="B16" s="7" t="str">
        <f>'2 Dimensioning'!B41</f>
        <v>Calls per second</v>
      </c>
      <c r="C16" s="18" t="s">
        <v>137</v>
      </c>
      <c r="D16" s="212" cm="1">
        <f t="array" ref="D16:W16">ROUNDUP((fixed_calls_persecond_onnet_factor/max_load)/as_software,0)*redundancy</f>
        <v>4</v>
      </c>
      <c r="E16" s="5">
        <v>4</v>
      </c>
      <c r="F16" s="5">
        <v>4</v>
      </c>
      <c r="G16" s="5">
        <v>4</v>
      </c>
      <c r="H16" s="5">
        <v>4</v>
      </c>
      <c r="I16" s="5">
        <v>4</v>
      </c>
      <c r="J16" s="5">
        <v>4</v>
      </c>
      <c r="K16" s="5">
        <v>4</v>
      </c>
      <c r="L16" s="5">
        <v>4</v>
      </c>
      <c r="M16" s="5">
        <v>4</v>
      </c>
      <c r="N16" s="5">
        <v>4</v>
      </c>
      <c r="O16" s="5">
        <v>4</v>
      </c>
      <c r="P16" s="5">
        <v>4</v>
      </c>
      <c r="Q16" s="5">
        <v>4</v>
      </c>
      <c r="R16" s="5">
        <v>4</v>
      </c>
      <c r="S16" s="5">
        <v>4</v>
      </c>
      <c r="T16" s="5">
        <v>4</v>
      </c>
      <c r="U16" s="5">
        <v>4</v>
      </c>
      <c r="V16" s="5">
        <v>4</v>
      </c>
      <c r="W16" s="5">
        <v>4</v>
      </c>
      <c r="X16" s="85"/>
      <c r="Z16" s="212" cm="1">
        <f t="array" ref="Z16:AS16">ROUNDUP((fixed_calls_persecond_onnet_factor_noincoming/max_load)/as_software,0)*redundancy</f>
        <v>2</v>
      </c>
      <c r="AA16" s="5">
        <v>2</v>
      </c>
      <c r="AB16" s="5">
        <v>2</v>
      </c>
      <c r="AC16" s="5">
        <v>2</v>
      </c>
      <c r="AD16" s="5">
        <v>2</v>
      </c>
      <c r="AE16" s="5">
        <v>2</v>
      </c>
      <c r="AF16" s="5">
        <v>2</v>
      </c>
      <c r="AG16" s="5">
        <v>2</v>
      </c>
      <c r="AH16" s="5">
        <v>2</v>
      </c>
      <c r="AI16" s="5">
        <v>2</v>
      </c>
      <c r="AJ16" s="5">
        <v>2</v>
      </c>
      <c r="AK16" s="5">
        <v>2</v>
      </c>
      <c r="AL16" s="5">
        <v>2</v>
      </c>
      <c r="AM16" s="5">
        <v>2</v>
      </c>
      <c r="AN16" s="5">
        <v>2</v>
      </c>
      <c r="AO16" s="5">
        <v>2</v>
      </c>
      <c r="AP16" s="5">
        <v>2</v>
      </c>
      <c r="AQ16" s="5">
        <v>2</v>
      </c>
      <c r="AR16" s="5">
        <v>2</v>
      </c>
      <c r="AS16" s="5">
        <v>2</v>
      </c>
    </row>
    <row r="17" spans="1:49" x14ac:dyDescent="0.25">
      <c r="A17" s="7" t="s">
        <v>139</v>
      </c>
      <c r="B17" s="7" t="str">
        <f>'2 Dimensioning'!B42</f>
        <v>Call data records per hour (calls per hour)</v>
      </c>
      <c r="C17" s="18" t="s">
        <v>140</v>
      </c>
      <c r="D17" s="212" cm="1">
        <f t="array" ref="D17:W17">ROUNDUP((fixed_calls_per_hour/max_load)/cdf_hardware,0)*redundancy</f>
        <v>2</v>
      </c>
      <c r="E17" s="5">
        <v>2</v>
      </c>
      <c r="F17" s="5">
        <v>2</v>
      </c>
      <c r="G17" s="5">
        <v>2</v>
      </c>
      <c r="H17" s="5">
        <v>2</v>
      </c>
      <c r="I17" s="5">
        <v>2</v>
      </c>
      <c r="J17" s="5">
        <v>2</v>
      </c>
      <c r="K17" s="5">
        <v>2</v>
      </c>
      <c r="L17" s="5">
        <v>2</v>
      </c>
      <c r="M17" s="5">
        <v>2</v>
      </c>
      <c r="N17" s="5">
        <v>2</v>
      </c>
      <c r="O17" s="5">
        <v>2</v>
      </c>
      <c r="P17" s="5">
        <v>2</v>
      </c>
      <c r="Q17" s="5">
        <v>2</v>
      </c>
      <c r="R17" s="5">
        <v>2</v>
      </c>
      <c r="S17" s="5">
        <v>2</v>
      </c>
      <c r="T17" s="5">
        <v>2</v>
      </c>
      <c r="U17" s="5">
        <v>2</v>
      </c>
      <c r="V17" s="5">
        <v>2</v>
      </c>
      <c r="W17" s="5">
        <v>2</v>
      </c>
      <c r="Z17" s="212" cm="1">
        <f t="array" ref="Z17:AS17">ROUNDUP((fixed_calls_per_hour_noincoming/max_load)/cdf_hardware,0)*redundancy</f>
        <v>2</v>
      </c>
      <c r="AA17" s="5">
        <v>2</v>
      </c>
      <c r="AB17" s="5">
        <v>2</v>
      </c>
      <c r="AC17" s="5">
        <v>2</v>
      </c>
      <c r="AD17" s="5">
        <v>2</v>
      </c>
      <c r="AE17" s="5">
        <v>2</v>
      </c>
      <c r="AF17" s="5">
        <v>2</v>
      </c>
      <c r="AG17" s="5">
        <v>2</v>
      </c>
      <c r="AH17" s="5">
        <v>2</v>
      </c>
      <c r="AI17" s="5">
        <v>2</v>
      </c>
      <c r="AJ17" s="5">
        <v>2</v>
      </c>
      <c r="AK17" s="5">
        <v>2</v>
      </c>
      <c r="AL17" s="5">
        <v>2</v>
      </c>
      <c r="AM17" s="5">
        <v>2</v>
      </c>
      <c r="AN17" s="5">
        <v>2</v>
      </c>
      <c r="AO17" s="5">
        <v>2</v>
      </c>
      <c r="AP17" s="5">
        <v>2</v>
      </c>
      <c r="AQ17" s="5">
        <v>2</v>
      </c>
      <c r="AR17" s="5">
        <v>2</v>
      </c>
      <c r="AS17" s="5">
        <v>2</v>
      </c>
    </row>
    <row r="18" spans="1:49" x14ac:dyDescent="0.25">
      <c r="A18" s="7" t="s">
        <v>141</v>
      </c>
      <c r="B18" s="7" t="str">
        <f>'2 Dimensioning'!B43</f>
        <v>Call data records per hour (calls per hour)</v>
      </c>
      <c r="C18" s="18" t="s">
        <v>140</v>
      </c>
      <c r="D18" s="212" cm="1">
        <f t="array" ref="D18:W18">ROUNDUP((fixed_calls_per_hour/max_load)/cdf_software,0)*redundancy</f>
        <v>2</v>
      </c>
      <c r="E18" s="5">
        <v>2</v>
      </c>
      <c r="F18" s="5">
        <v>2</v>
      </c>
      <c r="G18" s="5">
        <v>2</v>
      </c>
      <c r="H18" s="5">
        <v>2</v>
      </c>
      <c r="I18" s="5">
        <v>2</v>
      </c>
      <c r="J18" s="5">
        <v>2</v>
      </c>
      <c r="K18" s="5">
        <v>2</v>
      </c>
      <c r="L18" s="5">
        <v>2</v>
      </c>
      <c r="M18" s="5">
        <v>2</v>
      </c>
      <c r="N18" s="5">
        <v>2</v>
      </c>
      <c r="O18" s="5">
        <v>2</v>
      </c>
      <c r="P18" s="5">
        <v>2</v>
      </c>
      <c r="Q18" s="5">
        <v>2</v>
      </c>
      <c r="R18" s="5">
        <v>2</v>
      </c>
      <c r="S18" s="5">
        <v>2</v>
      </c>
      <c r="T18" s="5">
        <v>2</v>
      </c>
      <c r="U18" s="5">
        <v>2</v>
      </c>
      <c r="V18" s="5">
        <v>2</v>
      </c>
      <c r="W18" s="5">
        <v>2</v>
      </c>
      <c r="X18" s="183"/>
      <c r="Y18" s="183"/>
      <c r="Z18" s="212" cm="1">
        <f t="array" ref="Z18:AS18">ROUNDUP((fixed_calls_per_hour_noincoming/max_load)/cdf_software,0)*redundancy</f>
        <v>2</v>
      </c>
      <c r="AA18" s="5">
        <v>2</v>
      </c>
      <c r="AB18" s="5">
        <v>2</v>
      </c>
      <c r="AC18" s="5">
        <v>2</v>
      </c>
      <c r="AD18" s="5">
        <v>2</v>
      </c>
      <c r="AE18" s="5">
        <v>2</v>
      </c>
      <c r="AF18" s="5">
        <v>2</v>
      </c>
      <c r="AG18" s="5">
        <v>2</v>
      </c>
      <c r="AH18" s="5">
        <v>2</v>
      </c>
      <c r="AI18" s="5">
        <v>2</v>
      </c>
      <c r="AJ18" s="5">
        <v>2</v>
      </c>
      <c r="AK18" s="5">
        <v>2</v>
      </c>
      <c r="AL18" s="5">
        <v>2</v>
      </c>
      <c r="AM18" s="5">
        <v>2</v>
      </c>
      <c r="AN18" s="5">
        <v>2</v>
      </c>
      <c r="AO18" s="5">
        <v>2</v>
      </c>
      <c r="AP18" s="5">
        <v>2</v>
      </c>
      <c r="AQ18" s="5">
        <v>2</v>
      </c>
      <c r="AR18" s="5">
        <v>2</v>
      </c>
      <c r="AS18" s="5">
        <v>2</v>
      </c>
    </row>
    <row r="19" spans="1:49" x14ac:dyDescent="0.25">
      <c r="A19" s="7" t="s">
        <v>142</v>
      </c>
      <c r="B19" s="7" t="str">
        <f>'2 Dimensioning'!B44</f>
        <v>Busy hour call attempts</v>
      </c>
      <c r="C19" s="18" t="s">
        <v>137</v>
      </c>
      <c r="D19" s="212" cm="1">
        <f t="array" ref="D19:W19">ROUNDUP((busy_hour_call_attempts/max_load)/proxy_cscf_hardware,0)*redundancy</f>
        <v>4</v>
      </c>
      <c r="E19" s="5">
        <v>4</v>
      </c>
      <c r="F19" s="5">
        <v>4</v>
      </c>
      <c r="G19" s="5">
        <v>4</v>
      </c>
      <c r="H19" s="5">
        <v>4</v>
      </c>
      <c r="I19" s="5">
        <v>4</v>
      </c>
      <c r="J19" s="5">
        <v>4</v>
      </c>
      <c r="K19" s="5">
        <v>4</v>
      </c>
      <c r="L19" s="5">
        <v>4</v>
      </c>
      <c r="M19" s="5">
        <v>4</v>
      </c>
      <c r="N19" s="5">
        <v>4</v>
      </c>
      <c r="O19" s="5">
        <v>4</v>
      </c>
      <c r="P19" s="5">
        <v>4</v>
      </c>
      <c r="Q19" s="5">
        <v>6</v>
      </c>
      <c r="R19" s="5">
        <v>6</v>
      </c>
      <c r="S19" s="5">
        <v>6</v>
      </c>
      <c r="T19" s="5">
        <v>6</v>
      </c>
      <c r="U19" s="5">
        <v>6</v>
      </c>
      <c r="V19" s="5">
        <v>6</v>
      </c>
      <c r="W19" s="5">
        <v>6</v>
      </c>
      <c r="X19" s="183"/>
      <c r="Y19" s="183"/>
      <c r="Z19" s="212" cm="1">
        <f t="array" ref="Z19:AS19">ROUNDUP((busy_hour_call_attempts_noincoming/max_load)/proxy_cscf_hardware,0)*redundancy</f>
        <v>2</v>
      </c>
      <c r="AA19" s="5">
        <v>2</v>
      </c>
      <c r="AB19" s="5">
        <v>2</v>
      </c>
      <c r="AC19" s="5">
        <v>2</v>
      </c>
      <c r="AD19" s="5">
        <v>2</v>
      </c>
      <c r="AE19" s="5">
        <v>2</v>
      </c>
      <c r="AF19" s="5">
        <v>2</v>
      </c>
      <c r="AG19" s="5">
        <v>2</v>
      </c>
      <c r="AH19" s="5">
        <v>2</v>
      </c>
      <c r="AI19" s="5">
        <v>2</v>
      </c>
      <c r="AJ19" s="5">
        <v>2</v>
      </c>
      <c r="AK19" s="5">
        <v>2</v>
      </c>
      <c r="AL19" s="5">
        <v>2</v>
      </c>
      <c r="AM19" s="5">
        <v>2</v>
      </c>
      <c r="AN19" s="5">
        <v>2</v>
      </c>
      <c r="AO19" s="5">
        <v>2</v>
      </c>
      <c r="AP19" s="5">
        <v>2</v>
      </c>
      <c r="AQ19" s="5">
        <v>2</v>
      </c>
      <c r="AR19" s="5">
        <v>2</v>
      </c>
      <c r="AS19" s="5">
        <v>2</v>
      </c>
    </row>
    <row r="20" spans="1:49" x14ac:dyDescent="0.25">
      <c r="A20" s="7" t="s">
        <v>143</v>
      </c>
      <c r="B20" s="7" t="str">
        <f>'2 Dimensioning'!B45</f>
        <v>Busy hour call attempts</v>
      </c>
      <c r="C20" s="18" t="s">
        <v>137</v>
      </c>
      <c r="D20" s="212" cm="1">
        <f t="array" ref="D20:W20">ROUNDUP((busy_hour_call_attempts/max_load)/proxy_cscf_software,0)*redundancy</f>
        <v>4</v>
      </c>
      <c r="E20" s="5">
        <v>4</v>
      </c>
      <c r="F20" s="5">
        <v>4</v>
      </c>
      <c r="G20" s="5">
        <v>4</v>
      </c>
      <c r="H20" s="5">
        <v>4</v>
      </c>
      <c r="I20" s="5">
        <v>4</v>
      </c>
      <c r="J20" s="5">
        <v>4</v>
      </c>
      <c r="K20" s="5">
        <v>4</v>
      </c>
      <c r="L20" s="5">
        <v>4</v>
      </c>
      <c r="M20" s="5">
        <v>4</v>
      </c>
      <c r="N20" s="5">
        <v>4</v>
      </c>
      <c r="O20" s="5">
        <v>4</v>
      </c>
      <c r="P20" s="5">
        <v>4</v>
      </c>
      <c r="Q20" s="5">
        <v>4</v>
      </c>
      <c r="R20" s="5">
        <v>4</v>
      </c>
      <c r="S20" s="5">
        <v>4</v>
      </c>
      <c r="T20" s="5">
        <v>4</v>
      </c>
      <c r="U20" s="5">
        <v>4</v>
      </c>
      <c r="V20" s="5">
        <v>4</v>
      </c>
      <c r="W20" s="5">
        <v>4</v>
      </c>
      <c r="X20" s="183"/>
      <c r="Y20" s="183"/>
      <c r="Z20" s="212" cm="1">
        <f t="array" ref="Z20:AS20">ROUNDUP((busy_hour_call_attempts_noincoming/max_load)/proxy_cscf_software,0)*redundancy</f>
        <v>2</v>
      </c>
      <c r="AA20" s="5">
        <v>2</v>
      </c>
      <c r="AB20" s="5">
        <v>2</v>
      </c>
      <c r="AC20" s="5">
        <v>2</v>
      </c>
      <c r="AD20" s="5">
        <v>2</v>
      </c>
      <c r="AE20" s="5">
        <v>2</v>
      </c>
      <c r="AF20" s="5">
        <v>2</v>
      </c>
      <c r="AG20" s="5">
        <v>2</v>
      </c>
      <c r="AH20" s="5">
        <v>2</v>
      </c>
      <c r="AI20" s="5">
        <v>2</v>
      </c>
      <c r="AJ20" s="5">
        <v>2</v>
      </c>
      <c r="AK20" s="5">
        <v>2</v>
      </c>
      <c r="AL20" s="5">
        <v>2</v>
      </c>
      <c r="AM20" s="5">
        <v>2</v>
      </c>
      <c r="AN20" s="5">
        <v>2</v>
      </c>
      <c r="AO20" s="5">
        <v>2</v>
      </c>
      <c r="AP20" s="5">
        <v>2</v>
      </c>
      <c r="AQ20" s="5">
        <v>2</v>
      </c>
      <c r="AR20" s="5">
        <v>2</v>
      </c>
      <c r="AS20" s="5">
        <v>2</v>
      </c>
    </row>
    <row r="21" spans="1:49" x14ac:dyDescent="0.25">
      <c r="A21" s="7" t="s">
        <v>144</v>
      </c>
      <c r="B21" s="7" t="str">
        <f>'2 Dimensioning'!B46</f>
        <v>Busy hour call attempts</v>
      </c>
      <c r="C21" s="18" t="s">
        <v>137</v>
      </c>
      <c r="D21" s="212" cm="1">
        <f t="array" ref="D21:W21">ROUNDUP((busy_hour_call_attempts/max_load)/interr_cscf_hardware,0)*redundancy</f>
        <v>4</v>
      </c>
      <c r="E21" s="5">
        <v>4</v>
      </c>
      <c r="F21" s="5">
        <v>4</v>
      </c>
      <c r="G21" s="5">
        <v>4</v>
      </c>
      <c r="H21" s="5">
        <v>4</v>
      </c>
      <c r="I21" s="5">
        <v>4</v>
      </c>
      <c r="J21" s="5">
        <v>4</v>
      </c>
      <c r="K21" s="5">
        <v>4</v>
      </c>
      <c r="L21" s="5">
        <v>4</v>
      </c>
      <c r="M21" s="5">
        <v>4</v>
      </c>
      <c r="N21" s="5">
        <v>4</v>
      </c>
      <c r="O21" s="5">
        <v>4</v>
      </c>
      <c r="P21" s="5">
        <v>4</v>
      </c>
      <c r="Q21" s="5">
        <v>6</v>
      </c>
      <c r="R21" s="5">
        <v>6</v>
      </c>
      <c r="S21" s="5">
        <v>6</v>
      </c>
      <c r="T21" s="5">
        <v>6</v>
      </c>
      <c r="U21" s="5">
        <v>6</v>
      </c>
      <c r="V21" s="5">
        <v>6</v>
      </c>
      <c r="W21" s="5">
        <v>6</v>
      </c>
      <c r="Z21" s="212" cm="1">
        <f t="array" ref="Z21:AS21">ROUNDUP((busy_hour_call_attempts_noincoming/max_load)/interr_cscf_hardware,0)*redundancy</f>
        <v>2</v>
      </c>
      <c r="AA21" s="5">
        <v>2</v>
      </c>
      <c r="AB21" s="5">
        <v>2</v>
      </c>
      <c r="AC21" s="5">
        <v>2</v>
      </c>
      <c r="AD21" s="5">
        <v>2</v>
      </c>
      <c r="AE21" s="5">
        <v>2</v>
      </c>
      <c r="AF21" s="5">
        <v>2</v>
      </c>
      <c r="AG21" s="5">
        <v>2</v>
      </c>
      <c r="AH21" s="5">
        <v>2</v>
      </c>
      <c r="AI21" s="5">
        <v>2</v>
      </c>
      <c r="AJ21" s="5">
        <v>2</v>
      </c>
      <c r="AK21" s="5">
        <v>2</v>
      </c>
      <c r="AL21" s="5">
        <v>2</v>
      </c>
      <c r="AM21" s="5">
        <v>2</v>
      </c>
      <c r="AN21" s="5">
        <v>2</v>
      </c>
      <c r="AO21" s="5">
        <v>2</v>
      </c>
      <c r="AP21" s="5">
        <v>2</v>
      </c>
      <c r="AQ21" s="5">
        <v>2</v>
      </c>
      <c r="AR21" s="5">
        <v>2</v>
      </c>
      <c r="AS21" s="5">
        <v>2</v>
      </c>
    </row>
    <row r="22" spans="1:49" x14ac:dyDescent="0.25">
      <c r="A22" s="7" t="s">
        <v>145</v>
      </c>
      <c r="B22" s="7" t="str">
        <f>'2 Dimensioning'!B47</f>
        <v>Busy hour call attempts</v>
      </c>
      <c r="C22" s="18" t="s">
        <v>137</v>
      </c>
      <c r="D22" s="212" cm="1">
        <f t="array" ref="D22:W22">ROUNDUP((busy_hour_call_attempts/max_load)/interr_cscf_software,0)*redundancy</f>
        <v>4</v>
      </c>
      <c r="E22" s="5">
        <v>4</v>
      </c>
      <c r="F22" s="5">
        <v>4</v>
      </c>
      <c r="G22" s="5">
        <v>4</v>
      </c>
      <c r="H22" s="5">
        <v>4</v>
      </c>
      <c r="I22" s="5">
        <v>4</v>
      </c>
      <c r="J22" s="5">
        <v>4</v>
      </c>
      <c r="K22" s="5">
        <v>4</v>
      </c>
      <c r="L22" s="5">
        <v>4</v>
      </c>
      <c r="M22" s="5">
        <v>4</v>
      </c>
      <c r="N22" s="5">
        <v>4</v>
      </c>
      <c r="O22" s="5">
        <v>4</v>
      </c>
      <c r="P22" s="5">
        <v>4</v>
      </c>
      <c r="Q22" s="5">
        <v>4</v>
      </c>
      <c r="R22" s="5">
        <v>4</v>
      </c>
      <c r="S22" s="5">
        <v>4</v>
      </c>
      <c r="T22" s="5">
        <v>4</v>
      </c>
      <c r="U22" s="5">
        <v>4</v>
      </c>
      <c r="V22" s="5">
        <v>4</v>
      </c>
      <c r="W22" s="5">
        <v>4</v>
      </c>
      <c r="X22" s="81"/>
      <c r="Z22" s="212" cm="1">
        <f t="array" ref="Z22:AS22">ROUNDUP((busy_hour_call_attempts_noincoming/max_load)/interr_cscf_software,0)*redundancy</f>
        <v>2</v>
      </c>
      <c r="AA22" s="5">
        <v>2</v>
      </c>
      <c r="AB22" s="5">
        <v>2</v>
      </c>
      <c r="AC22" s="5">
        <v>2</v>
      </c>
      <c r="AD22" s="5">
        <v>2</v>
      </c>
      <c r="AE22" s="5">
        <v>2</v>
      </c>
      <c r="AF22" s="5">
        <v>2</v>
      </c>
      <c r="AG22" s="5">
        <v>2</v>
      </c>
      <c r="AH22" s="5">
        <v>2</v>
      </c>
      <c r="AI22" s="5">
        <v>2</v>
      </c>
      <c r="AJ22" s="5">
        <v>2</v>
      </c>
      <c r="AK22" s="5">
        <v>2</v>
      </c>
      <c r="AL22" s="5">
        <v>2</v>
      </c>
      <c r="AM22" s="5">
        <v>2</v>
      </c>
      <c r="AN22" s="5">
        <v>2</v>
      </c>
      <c r="AO22" s="5">
        <v>2</v>
      </c>
      <c r="AP22" s="5">
        <v>2</v>
      </c>
      <c r="AQ22" s="5">
        <v>2</v>
      </c>
      <c r="AR22" s="5">
        <v>2</v>
      </c>
      <c r="AS22" s="5">
        <v>2</v>
      </c>
    </row>
    <row r="23" spans="1:49" x14ac:dyDescent="0.25">
      <c r="A23" s="7" t="s">
        <v>146</v>
      </c>
      <c r="B23" s="7" t="str">
        <f>'2 Dimensioning'!B48</f>
        <v>Busy hour call attempts</v>
      </c>
      <c r="C23" s="18" t="s">
        <v>137</v>
      </c>
      <c r="D23" s="212" cm="1">
        <f t="array" ref="D23:W23">ROUNDUP((busy_hour_call_attempts/max_load)/serve_cscf_hardware,0)*redundancy</f>
        <v>4</v>
      </c>
      <c r="E23" s="5">
        <v>4</v>
      </c>
      <c r="F23" s="5">
        <v>4</v>
      </c>
      <c r="G23" s="5">
        <v>4</v>
      </c>
      <c r="H23" s="5">
        <v>4</v>
      </c>
      <c r="I23" s="5">
        <v>4</v>
      </c>
      <c r="J23" s="5">
        <v>4</v>
      </c>
      <c r="K23" s="5">
        <v>4</v>
      </c>
      <c r="L23" s="5">
        <v>4</v>
      </c>
      <c r="M23" s="5">
        <v>4</v>
      </c>
      <c r="N23" s="5">
        <v>4</v>
      </c>
      <c r="O23" s="5">
        <v>4</v>
      </c>
      <c r="P23" s="5">
        <v>4</v>
      </c>
      <c r="Q23" s="5">
        <v>4</v>
      </c>
      <c r="R23" s="5">
        <v>4</v>
      </c>
      <c r="S23" s="5">
        <v>4</v>
      </c>
      <c r="T23" s="5">
        <v>4</v>
      </c>
      <c r="U23" s="5">
        <v>4</v>
      </c>
      <c r="V23" s="5">
        <v>4</v>
      </c>
      <c r="W23" s="5">
        <v>4</v>
      </c>
      <c r="X23" s="81"/>
      <c r="Z23" s="212" cm="1">
        <f t="array" ref="Z23:AS23">ROUNDUP((busy_hour_call_attempts_noincoming/max_load)/serve_cscf_software,0)*redundancy</f>
        <v>2</v>
      </c>
      <c r="AA23" s="5">
        <v>2</v>
      </c>
      <c r="AB23" s="5">
        <v>2</v>
      </c>
      <c r="AC23" s="5">
        <v>2</v>
      </c>
      <c r="AD23" s="5">
        <v>2</v>
      </c>
      <c r="AE23" s="5">
        <v>2</v>
      </c>
      <c r="AF23" s="5">
        <v>2</v>
      </c>
      <c r="AG23" s="5">
        <v>2</v>
      </c>
      <c r="AH23" s="5">
        <v>2</v>
      </c>
      <c r="AI23" s="5">
        <v>2</v>
      </c>
      <c r="AJ23" s="5">
        <v>2</v>
      </c>
      <c r="AK23" s="5">
        <v>2</v>
      </c>
      <c r="AL23" s="5">
        <v>2</v>
      </c>
      <c r="AM23" s="5">
        <v>2</v>
      </c>
      <c r="AN23" s="5">
        <v>2</v>
      </c>
      <c r="AO23" s="5">
        <v>2</v>
      </c>
      <c r="AP23" s="5">
        <v>2</v>
      </c>
      <c r="AQ23" s="5">
        <v>2</v>
      </c>
      <c r="AR23" s="5">
        <v>2</v>
      </c>
      <c r="AS23" s="5">
        <v>2</v>
      </c>
    </row>
    <row r="24" spans="1:49" x14ac:dyDescent="0.25">
      <c r="A24" s="7" t="s">
        <v>147</v>
      </c>
      <c r="B24" s="7" t="str">
        <f>'2 Dimensioning'!B49</f>
        <v>Busy hour call attempts</v>
      </c>
      <c r="C24" s="18" t="s">
        <v>137</v>
      </c>
      <c r="D24" s="212" cm="1">
        <f t="array" ref="D24:W24">ROUNDUP((busy_hour_call_attempts/max_load)/serve_cscf_software,0)*redundancy</f>
        <v>4</v>
      </c>
      <c r="E24" s="5">
        <v>4</v>
      </c>
      <c r="F24" s="5">
        <v>4</v>
      </c>
      <c r="G24" s="5">
        <v>4</v>
      </c>
      <c r="H24" s="5">
        <v>4</v>
      </c>
      <c r="I24" s="5">
        <v>4</v>
      </c>
      <c r="J24" s="5">
        <v>4</v>
      </c>
      <c r="K24" s="5">
        <v>4</v>
      </c>
      <c r="L24" s="5">
        <v>4</v>
      </c>
      <c r="M24" s="5">
        <v>4</v>
      </c>
      <c r="N24" s="5">
        <v>4</v>
      </c>
      <c r="O24" s="5">
        <v>4</v>
      </c>
      <c r="P24" s="5">
        <v>4</v>
      </c>
      <c r="Q24" s="5">
        <v>6</v>
      </c>
      <c r="R24" s="5">
        <v>6</v>
      </c>
      <c r="S24" s="5">
        <v>6</v>
      </c>
      <c r="T24" s="5">
        <v>6</v>
      </c>
      <c r="U24" s="5">
        <v>6</v>
      </c>
      <c r="V24" s="5">
        <v>6</v>
      </c>
      <c r="W24" s="5">
        <v>6</v>
      </c>
      <c r="Z24" s="212" cm="1">
        <f t="array" ref="Z24:AS24">ROUNDUP((busy_hour_call_attempts_noincoming/max_load)/serve_cscf_software,0)*redundancy</f>
        <v>2</v>
      </c>
      <c r="AA24" s="5">
        <v>2</v>
      </c>
      <c r="AB24" s="5">
        <v>2</v>
      </c>
      <c r="AC24" s="5">
        <v>2</v>
      </c>
      <c r="AD24" s="5">
        <v>2</v>
      </c>
      <c r="AE24" s="5">
        <v>2</v>
      </c>
      <c r="AF24" s="5">
        <v>2</v>
      </c>
      <c r="AG24" s="5">
        <v>2</v>
      </c>
      <c r="AH24" s="5">
        <v>2</v>
      </c>
      <c r="AI24" s="5">
        <v>2</v>
      </c>
      <c r="AJ24" s="5">
        <v>2</v>
      </c>
      <c r="AK24" s="5">
        <v>2</v>
      </c>
      <c r="AL24" s="5">
        <v>2</v>
      </c>
      <c r="AM24" s="5">
        <v>2</v>
      </c>
      <c r="AN24" s="5">
        <v>2</v>
      </c>
      <c r="AO24" s="5">
        <v>2</v>
      </c>
      <c r="AP24" s="5">
        <v>2</v>
      </c>
      <c r="AQ24" s="5">
        <v>2</v>
      </c>
      <c r="AR24" s="5">
        <v>2</v>
      </c>
      <c r="AS24" s="5">
        <v>2</v>
      </c>
    </row>
    <row r="25" spans="1:49" x14ac:dyDescent="0.25">
      <c r="A25" s="7" t="s">
        <v>148</v>
      </c>
      <c r="B25" s="7" t="str">
        <f>'2 Dimensioning'!B50</f>
        <v>Concurrent sessions (calls per hour)</v>
      </c>
      <c r="C25" s="18" t="s">
        <v>137</v>
      </c>
      <c r="D25" s="212" cm="1">
        <f t="array" ref="D25:W25">ROUNDUP((fixed_calls_per_hour_onnet_factor/max_load)/mrf_hardware,0)*redundancy</f>
        <v>492</v>
      </c>
      <c r="E25" s="5">
        <v>502</v>
      </c>
      <c r="F25" s="5">
        <v>524</v>
      </c>
      <c r="G25" s="5">
        <v>508</v>
      </c>
      <c r="H25" s="5">
        <v>510</v>
      </c>
      <c r="I25" s="5">
        <v>514</v>
      </c>
      <c r="J25" s="5">
        <v>516</v>
      </c>
      <c r="K25" s="5">
        <v>518</v>
      </c>
      <c r="L25" s="5">
        <v>522</v>
      </c>
      <c r="M25" s="5">
        <v>524</v>
      </c>
      <c r="N25" s="5">
        <v>526</v>
      </c>
      <c r="O25" s="5">
        <v>528</v>
      </c>
      <c r="P25" s="5">
        <v>532</v>
      </c>
      <c r="Q25" s="5">
        <v>534</v>
      </c>
      <c r="R25" s="5">
        <v>536</v>
      </c>
      <c r="S25" s="5">
        <v>540</v>
      </c>
      <c r="T25" s="5">
        <v>542</v>
      </c>
      <c r="U25" s="5">
        <v>544</v>
      </c>
      <c r="V25" s="5">
        <v>548</v>
      </c>
      <c r="W25" s="5">
        <v>550</v>
      </c>
      <c r="Z25" s="212" cm="1">
        <f t="array" ref="Z25:AS25">ROUNDUP((fixed_calls_per_hour_onnet_factor_noincoming/max_load)/mrf_hardware,0)*redundancy</f>
        <v>230</v>
      </c>
      <c r="AA25" s="5">
        <v>224</v>
      </c>
      <c r="AB25" s="5">
        <v>208</v>
      </c>
      <c r="AC25" s="5">
        <v>194</v>
      </c>
      <c r="AD25" s="5">
        <v>196</v>
      </c>
      <c r="AE25" s="5">
        <v>196</v>
      </c>
      <c r="AF25" s="5">
        <v>198</v>
      </c>
      <c r="AG25" s="5">
        <v>198</v>
      </c>
      <c r="AH25" s="5">
        <v>200</v>
      </c>
      <c r="AI25" s="5">
        <v>200</v>
      </c>
      <c r="AJ25" s="5">
        <v>202</v>
      </c>
      <c r="AK25" s="5">
        <v>202</v>
      </c>
      <c r="AL25" s="5">
        <v>204</v>
      </c>
      <c r="AM25" s="5">
        <v>204</v>
      </c>
      <c r="AN25" s="5">
        <v>206</v>
      </c>
      <c r="AO25" s="5">
        <v>206</v>
      </c>
      <c r="AP25" s="5">
        <v>208</v>
      </c>
      <c r="AQ25" s="5">
        <v>208</v>
      </c>
      <c r="AR25" s="5">
        <v>210</v>
      </c>
      <c r="AS25" s="5">
        <v>210</v>
      </c>
    </row>
    <row r="26" spans="1:49" x14ac:dyDescent="0.25">
      <c r="A26" s="7" t="s">
        <v>149</v>
      </c>
      <c r="B26" s="7" t="str">
        <f>'2 Dimensioning'!B51</f>
        <v>Concurrent sessions (calls per hour)</v>
      </c>
      <c r="C26" s="18" t="s">
        <v>137</v>
      </c>
      <c r="D26" s="212" cm="1">
        <f t="array" ref="D26:W26">ROUNDUP((fixed_calls_per_hour_onnet_factor/max_load)/mrf_software,0)*redundancy</f>
        <v>564</v>
      </c>
      <c r="E26" s="5">
        <v>572</v>
      </c>
      <c r="F26" s="5">
        <v>600</v>
      </c>
      <c r="G26" s="5">
        <v>580</v>
      </c>
      <c r="H26" s="5">
        <v>584</v>
      </c>
      <c r="I26" s="5">
        <v>586</v>
      </c>
      <c r="J26" s="5">
        <v>590</v>
      </c>
      <c r="K26" s="5">
        <v>592</v>
      </c>
      <c r="L26" s="5">
        <v>596</v>
      </c>
      <c r="M26" s="5">
        <v>598</v>
      </c>
      <c r="N26" s="5">
        <v>602</v>
      </c>
      <c r="O26" s="5">
        <v>604</v>
      </c>
      <c r="P26" s="5">
        <v>608</v>
      </c>
      <c r="Q26" s="5">
        <v>610</v>
      </c>
      <c r="R26" s="5">
        <v>614</v>
      </c>
      <c r="S26" s="5">
        <v>616</v>
      </c>
      <c r="T26" s="5">
        <v>620</v>
      </c>
      <c r="U26" s="5">
        <v>622</v>
      </c>
      <c r="V26" s="5">
        <v>626</v>
      </c>
      <c r="W26" s="5">
        <v>628</v>
      </c>
      <c r="Z26" s="212" cm="1">
        <f t="array" ref="Z26:AS26">ROUNDUP((fixed_calls_per_hour_onnet_factor_noincoming/max_load)/mrf_software,0)*redundancy</f>
        <v>262</v>
      </c>
      <c r="AA26" s="5">
        <v>256</v>
      </c>
      <c r="AB26" s="5">
        <v>238</v>
      </c>
      <c r="AC26" s="5">
        <v>222</v>
      </c>
      <c r="AD26" s="5">
        <v>224</v>
      </c>
      <c r="AE26" s="5">
        <v>224</v>
      </c>
      <c r="AF26" s="5">
        <v>226</v>
      </c>
      <c r="AG26" s="5">
        <v>228</v>
      </c>
      <c r="AH26" s="5">
        <v>228</v>
      </c>
      <c r="AI26" s="5">
        <v>230</v>
      </c>
      <c r="AJ26" s="5">
        <v>230</v>
      </c>
      <c r="AK26" s="5">
        <v>232</v>
      </c>
      <c r="AL26" s="5">
        <v>232</v>
      </c>
      <c r="AM26" s="5">
        <v>234</v>
      </c>
      <c r="AN26" s="5">
        <v>236</v>
      </c>
      <c r="AO26" s="5">
        <v>236</v>
      </c>
      <c r="AP26" s="5">
        <v>238</v>
      </c>
      <c r="AQ26" s="5">
        <v>238</v>
      </c>
      <c r="AR26" s="5">
        <v>240</v>
      </c>
      <c r="AS26" s="5">
        <v>240</v>
      </c>
    </row>
    <row r="27" spans="1:49" x14ac:dyDescent="0.25">
      <c r="A27" s="7" t="s">
        <v>150</v>
      </c>
      <c r="B27" s="7" t="str">
        <f>'2 Dimensioning'!B52</f>
        <v>Concurrent sessions (calls per hour)</v>
      </c>
      <c r="C27" s="18" t="s">
        <v>137</v>
      </c>
      <c r="D27" s="212" cm="1">
        <f t="array" ref="D27:W27">ROUNDUP((fixed_calls_per_hour_onnet_factor/max_load)/access_sbc_hardware,0)*redundancy</f>
        <v>50</v>
      </c>
      <c r="E27" s="5">
        <v>52</v>
      </c>
      <c r="F27" s="5">
        <v>54</v>
      </c>
      <c r="G27" s="5">
        <v>52</v>
      </c>
      <c r="H27" s="5">
        <v>52</v>
      </c>
      <c r="I27" s="5">
        <v>52</v>
      </c>
      <c r="J27" s="5">
        <v>52</v>
      </c>
      <c r="K27" s="5">
        <v>52</v>
      </c>
      <c r="L27" s="5">
        <v>54</v>
      </c>
      <c r="M27" s="5">
        <v>54</v>
      </c>
      <c r="N27" s="5">
        <v>54</v>
      </c>
      <c r="O27" s="5">
        <v>54</v>
      </c>
      <c r="P27" s="5">
        <v>54</v>
      </c>
      <c r="Q27" s="5">
        <v>54</v>
      </c>
      <c r="R27" s="5">
        <v>54</v>
      </c>
      <c r="S27" s="5">
        <v>54</v>
      </c>
      <c r="T27" s="5">
        <v>56</v>
      </c>
      <c r="U27" s="5">
        <v>56</v>
      </c>
      <c r="V27" s="5">
        <v>56</v>
      </c>
      <c r="W27" s="5">
        <v>56</v>
      </c>
      <c r="Z27" s="212" cm="1">
        <f t="array" ref="Z27:AS27">ROUNDUP((fixed_calls_per_hour_onnet_factor_noincoming/max_load)/access_sbc_hardware,0)*redundancy</f>
        <v>24</v>
      </c>
      <c r="AA27" s="5">
        <v>24</v>
      </c>
      <c r="AB27" s="5">
        <v>22</v>
      </c>
      <c r="AC27" s="5">
        <v>20</v>
      </c>
      <c r="AD27" s="5">
        <v>20</v>
      </c>
      <c r="AE27" s="5">
        <v>20</v>
      </c>
      <c r="AF27" s="5">
        <v>20</v>
      </c>
      <c r="AG27" s="5">
        <v>20</v>
      </c>
      <c r="AH27" s="5">
        <v>20</v>
      </c>
      <c r="AI27" s="5">
        <v>20</v>
      </c>
      <c r="AJ27" s="5">
        <v>22</v>
      </c>
      <c r="AK27" s="5">
        <v>22</v>
      </c>
      <c r="AL27" s="5">
        <v>22</v>
      </c>
      <c r="AM27" s="5">
        <v>22</v>
      </c>
      <c r="AN27" s="5">
        <v>22</v>
      </c>
      <c r="AO27" s="5">
        <v>22</v>
      </c>
      <c r="AP27" s="5">
        <v>22</v>
      </c>
      <c r="AQ27" s="5">
        <v>22</v>
      </c>
      <c r="AR27" s="5">
        <v>22</v>
      </c>
      <c r="AS27" s="5">
        <v>22</v>
      </c>
    </row>
    <row r="28" spans="1:49" x14ac:dyDescent="0.25">
      <c r="A28" s="7" t="s">
        <v>151</v>
      </c>
      <c r="B28" s="7" t="str">
        <f>'2 Dimensioning'!B53</f>
        <v>Concurrent sessions (calls per hour)</v>
      </c>
      <c r="C28" s="18" t="s">
        <v>137</v>
      </c>
      <c r="D28" s="212" cm="1">
        <f t="array" ref="D28:W28">ROUNDUP((fixed_calls_per_hour_onnet_factor/max_load)/access_sbc_software,0)*redundancy</f>
        <v>492</v>
      </c>
      <c r="E28" s="5">
        <v>502</v>
      </c>
      <c r="F28" s="5">
        <v>524</v>
      </c>
      <c r="G28" s="5">
        <v>508</v>
      </c>
      <c r="H28" s="5">
        <v>510</v>
      </c>
      <c r="I28" s="5">
        <v>514</v>
      </c>
      <c r="J28" s="5">
        <v>516</v>
      </c>
      <c r="K28" s="5">
        <v>518</v>
      </c>
      <c r="L28" s="5">
        <v>522</v>
      </c>
      <c r="M28" s="5">
        <v>524</v>
      </c>
      <c r="N28" s="5">
        <v>526</v>
      </c>
      <c r="O28" s="5">
        <v>528</v>
      </c>
      <c r="P28" s="5">
        <v>532</v>
      </c>
      <c r="Q28" s="5">
        <v>534</v>
      </c>
      <c r="R28" s="5">
        <v>536</v>
      </c>
      <c r="S28" s="5">
        <v>540</v>
      </c>
      <c r="T28" s="5">
        <v>542</v>
      </c>
      <c r="U28" s="5">
        <v>544</v>
      </c>
      <c r="V28" s="5">
        <v>548</v>
      </c>
      <c r="W28" s="5">
        <v>550</v>
      </c>
      <c r="Z28" s="212" cm="1">
        <f t="array" ref="Z28:AS28">ROUNDUP((fixed_calls_per_hour_onnet_factor_noincoming/max_load)/access_sbc_software,0)*redundancy</f>
        <v>230</v>
      </c>
      <c r="AA28" s="5">
        <v>224</v>
      </c>
      <c r="AB28" s="5">
        <v>208</v>
      </c>
      <c r="AC28" s="5">
        <v>194</v>
      </c>
      <c r="AD28" s="5">
        <v>196</v>
      </c>
      <c r="AE28" s="5">
        <v>196</v>
      </c>
      <c r="AF28" s="5">
        <v>198</v>
      </c>
      <c r="AG28" s="5">
        <v>198</v>
      </c>
      <c r="AH28" s="5">
        <v>200</v>
      </c>
      <c r="AI28" s="5">
        <v>200</v>
      </c>
      <c r="AJ28" s="5">
        <v>202</v>
      </c>
      <c r="AK28" s="5">
        <v>202</v>
      </c>
      <c r="AL28" s="5">
        <v>204</v>
      </c>
      <c r="AM28" s="5">
        <v>204</v>
      </c>
      <c r="AN28" s="5">
        <v>206</v>
      </c>
      <c r="AO28" s="5">
        <v>206</v>
      </c>
      <c r="AP28" s="5">
        <v>208</v>
      </c>
      <c r="AQ28" s="5">
        <v>208</v>
      </c>
      <c r="AR28" s="5">
        <v>210</v>
      </c>
      <c r="AS28" s="5">
        <v>210</v>
      </c>
    </row>
    <row r="29" spans="1:49" x14ac:dyDescent="0.25">
      <c r="A29" s="7" t="s">
        <v>152</v>
      </c>
      <c r="B29" s="7" t="str">
        <f>'2 Dimensioning'!B54</f>
        <v>Concurrent sessions (calls per hour)</v>
      </c>
      <c r="C29" s="18" t="s">
        <v>140</v>
      </c>
      <c r="D29" s="212" cm="1">
        <f t="array" ref="D29:W29">ROUNDUP((fixed_calls_per_hour/max_load)/ix_sbc_hardware,0)*redundancy</f>
        <v>42</v>
      </c>
      <c r="E29" s="5">
        <v>42</v>
      </c>
      <c r="F29" s="5">
        <v>46</v>
      </c>
      <c r="G29" s="5">
        <v>44</v>
      </c>
      <c r="H29" s="5">
        <v>44</v>
      </c>
      <c r="I29" s="5">
        <v>46</v>
      </c>
      <c r="J29" s="5">
        <v>46</v>
      </c>
      <c r="K29" s="5">
        <v>46</v>
      </c>
      <c r="L29" s="5">
        <v>46</v>
      </c>
      <c r="M29" s="5">
        <v>46</v>
      </c>
      <c r="N29" s="5">
        <v>46</v>
      </c>
      <c r="O29" s="5">
        <v>46</v>
      </c>
      <c r="P29" s="5">
        <v>46</v>
      </c>
      <c r="Q29" s="5">
        <v>46</v>
      </c>
      <c r="R29" s="5">
        <v>48</v>
      </c>
      <c r="S29" s="5">
        <v>48</v>
      </c>
      <c r="T29" s="5">
        <v>48</v>
      </c>
      <c r="U29" s="5">
        <v>48</v>
      </c>
      <c r="V29" s="5">
        <v>48</v>
      </c>
      <c r="W29" s="5">
        <v>48</v>
      </c>
      <c r="Z29" s="212" cm="1">
        <f t="array" ref="Z29:AS29">ROUNDUP((fixed_calls_per_hour_noincoming/max_load)/ix_sbc_hardware,0)*redundancy</f>
        <v>16</v>
      </c>
      <c r="AA29" s="5">
        <v>16</v>
      </c>
      <c r="AB29" s="5">
        <v>14</v>
      </c>
      <c r="AC29" s="5">
        <v>14</v>
      </c>
      <c r="AD29" s="5">
        <v>14</v>
      </c>
      <c r="AE29" s="5">
        <v>14</v>
      </c>
      <c r="AF29" s="5">
        <v>14</v>
      </c>
      <c r="AG29" s="5">
        <v>14</v>
      </c>
      <c r="AH29" s="5">
        <v>14</v>
      </c>
      <c r="AI29" s="5">
        <v>14</v>
      </c>
      <c r="AJ29" s="5">
        <v>14</v>
      </c>
      <c r="AK29" s="5">
        <v>14</v>
      </c>
      <c r="AL29" s="5">
        <v>14</v>
      </c>
      <c r="AM29" s="5">
        <v>14</v>
      </c>
      <c r="AN29" s="5">
        <v>14</v>
      </c>
      <c r="AO29" s="5">
        <v>14</v>
      </c>
      <c r="AP29" s="5">
        <v>14</v>
      </c>
      <c r="AQ29" s="5">
        <v>14</v>
      </c>
      <c r="AR29" s="5">
        <v>14</v>
      </c>
      <c r="AS29" s="5">
        <v>14</v>
      </c>
    </row>
    <row r="30" spans="1:49" x14ac:dyDescent="0.25">
      <c r="A30" s="7" t="s">
        <v>153</v>
      </c>
      <c r="B30" s="7" t="str">
        <f>'2 Dimensioning'!B55</f>
        <v>Concurrent sessions (calls per hour)</v>
      </c>
      <c r="C30" s="18" t="s">
        <v>140</v>
      </c>
      <c r="D30" s="212" cm="1">
        <f t="array" ref="D30:W30">ROUNDUP((fixed_calls_per_hour/max_load)/ix_sbc_software,0)*redundancy</f>
        <v>84</v>
      </c>
      <c r="E30" s="5">
        <v>84</v>
      </c>
      <c r="F30" s="5">
        <v>90</v>
      </c>
      <c r="G30" s="5">
        <v>88</v>
      </c>
      <c r="H30" s="5">
        <v>88</v>
      </c>
      <c r="I30" s="5">
        <v>90</v>
      </c>
      <c r="J30" s="5">
        <v>90</v>
      </c>
      <c r="K30" s="5">
        <v>90</v>
      </c>
      <c r="L30" s="5">
        <v>90</v>
      </c>
      <c r="M30" s="5">
        <v>90</v>
      </c>
      <c r="N30" s="5">
        <v>92</v>
      </c>
      <c r="O30" s="5">
        <v>92</v>
      </c>
      <c r="P30" s="5">
        <v>92</v>
      </c>
      <c r="Q30" s="5">
        <v>92</v>
      </c>
      <c r="R30" s="5">
        <v>94</v>
      </c>
      <c r="S30" s="5">
        <v>94</v>
      </c>
      <c r="T30" s="5">
        <v>94</v>
      </c>
      <c r="U30" s="5">
        <v>94</v>
      </c>
      <c r="V30" s="5">
        <v>94</v>
      </c>
      <c r="W30" s="5">
        <v>96</v>
      </c>
      <c r="Z30" s="212" cm="1">
        <f t="array" ref="Z30:AS30">ROUNDUP((fixed_calls_per_hour_noincoming/max_load)/ix_sbc_software,0)*redundancy</f>
        <v>30</v>
      </c>
      <c r="AA30" s="5">
        <v>30</v>
      </c>
      <c r="AB30" s="5">
        <v>28</v>
      </c>
      <c r="AC30" s="5">
        <v>26</v>
      </c>
      <c r="AD30" s="5">
        <v>26</v>
      </c>
      <c r="AE30" s="5">
        <v>26</v>
      </c>
      <c r="AF30" s="5">
        <v>26</v>
      </c>
      <c r="AG30" s="5">
        <v>26</v>
      </c>
      <c r="AH30" s="5">
        <v>26</v>
      </c>
      <c r="AI30" s="5">
        <v>26</v>
      </c>
      <c r="AJ30" s="5">
        <v>26</v>
      </c>
      <c r="AK30" s="5">
        <v>26</v>
      </c>
      <c r="AL30" s="5">
        <v>26</v>
      </c>
      <c r="AM30" s="5">
        <v>26</v>
      </c>
      <c r="AN30" s="5">
        <v>26</v>
      </c>
      <c r="AO30" s="5">
        <v>26</v>
      </c>
      <c r="AP30" s="5">
        <v>28</v>
      </c>
      <c r="AQ30" s="5">
        <v>28</v>
      </c>
      <c r="AR30" s="5">
        <v>28</v>
      </c>
      <c r="AS30" s="5">
        <v>28</v>
      </c>
      <c r="AW30" s="115"/>
    </row>
    <row r="31" spans="1:49" x14ac:dyDescent="0.25">
      <c r="A31" s="16" t="s">
        <v>154</v>
      </c>
      <c r="C31" s="16"/>
    </row>
    <row r="32" spans="1:49" x14ac:dyDescent="0.25">
      <c r="B32" s="16"/>
      <c r="C32" s="16"/>
      <c r="D32" s="16"/>
      <c r="Z32" s="16"/>
    </row>
    <row r="33" spans="1:67" x14ac:dyDescent="0.25">
      <c r="A33" s="13" t="s">
        <v>155</v>
      </c>
      <c r="B33" s="16"/>
      <c r="C33" s="16"/>
      <c r="D33" s="16"/>
      <c r="Z33" s="16"/>
    </row>
    <row r="34" spans="1:67" x14ac:dyDescent="0.25">
      <c r="B34" s="16"/>
      <c r="C34" s="16"/>
      <c r="D34" s="16"/>
      <c r="Z34" s="16"/>
    </row>
    <row r="35" spans="1:67" x14ac:dyDescent="0.25">
      <c r="A35" s="93" t="s">
        <v>368</v>
      </c>
      <c r="C35" s="16"/>
      <c r="D35" s="16"/>
      <c r="Z35" s="16"/>
    </row>
    <row r="36" spans="1:67" x14ac:dyDescent="0.25">
      <c r="B36" s="16"/>
      <c r="C36" s="16"/>
      <c r="D36" s="16"/>
      <c r="Z36" s="16"/>
    </row>
    <row r="37" spans="1:67" x14ac:dyDescent="0.25">
      <c r="A37" s="13" t="s">
        <v>373</v>
      </c>
      <c r="B37" s="16"/>
      <c r="C37" s="16"/>
      <c r="D37" s="16"/>
      <c r="Z37" s="16"/>
    </row>
    <row r="39" spans="1:67" x14ac:dyDescent="0.25">
      <c r="D39" s="49" t="s">
        <v>99</v>
      </c>
      <c r="E39" s="50"/>
      <c r="F39" s="50"/>
      <c r="G39" s="50"/>
      <c r="H39" s="50"/>
      <c r="I39" s="50"/>
      <c r="J39" s="50"/>
      <c r="K39" s="50"/>
      <c r="L39" s="50"/>
      <c r="M39" s="50"/>
      <c r="N39" s="50"/>
      <c r="O39" s="50"/>
      <c r="P39" s="50"/>
      <c r="Q39" s="50"/>
      <c r="R39" s="50"/>
      <c r="S39" s="50"/>
      <c r="T39" s="50"/>
      <c r="U39" s="50"/>
      <c r="V39" s="50"/>
      <c r="W39" s="50"/>
      <c r="Z39" s="49" t="s">
        <v>131</v>
      </c>
      <c r="AA39" s="50"/>
      <c r="AB39" s="50"/>
      <c r="AC39" s="50"/>
      <c r="AD39" s="50"/>
      <c r="AE39" s="50"/>
      <c r="AF39" s="50"/>
      <c r="AG39" s="50"/>
      <c r="AH39" s="50"/>
      <c r="AI39" s="50"/>
      <c r="AJ39" s="50"/>
      <c r="AK39" s="50"/>
      <c r="AL39" s="50"/>
      <c r="AM39" s="50"/>
      <c r="AN39" s="50"/>
      <c r="AO39" s="50"/>
      <c r="AP39" s="50"/>
      <c r="AQ39" s="50"/>
      <c r="AR39" s="50"/>
      <c r="AS39" s="50"/>
      <c r="AV39" s="49" t="s">
        <v>381</v>
      </c>
      <c r="AW39" s="50"/>
      <c r="AX39" s="50"/>
      <c r="AY39" s="50"/>
      <c r="AZ39" s="50"/>
      <c r="BA39" s="50"/>
      <c r="BB39" s="50"/>
      <c r="BC39" s="50"/>
      <c r="BD39" s="50"/>
      <c r="BE39" s="50"/>
      <c r="BF39" s="50"/>
      <c r="BG39" s="50"/>
      <c r="BH39" s="50"/>
      <c r="BI39" s="50"/>
      <c r="BJ39" s="50"/>
      <c r="BK39" s="50"/>
      <c r="BL39" s="50"/>
      <c r="BM39" s="50"/>
      <c r="BN39" s="50"/>
      <c r="BO39" s="50"/>
    </row>
    <row r="40" spans="1:67" x14ac:dyDescent="0.25">
      <c r="B40" s="16"/>
      <c r="C40" s="16"/>
      <c r="D40" s="13">
        <v>1</v>
      </c>
      <c r="E40" s="13">
        <v>2</v>
      </c>
      <c r="F40" s="13">
        <v>3</v>
      </c>
      <c r="G40" s="13">
        <v>4</v>
      </c>
      <c r="H40" s="13">
        <v>5</v>
      </c>
      <c r="I40" s="13">
        <v>6</v>
      </c>
      <c r="J40" s="13">
        <v>7</v>
      </c>
      <c r="K40" s="13">
        <v>8</v>
      </c>
      <c r="L40" s="13">
        <v>9</v>
      </c>
      <c r="M40" s="13">
        <v>10</v>
      </c>
      <c r="N40" s="13">
        <v>11</v>
      </c>
      <c r="O40" s="13">
        <v>12</v>
      </c>
      <c r="P40" s="13">
        <v>13</v>
      </c>
      <c r="Q40" s="13">
        <v>14</v>
      </c>
      <c r="R40" s="13">
        <v>15</v>
      </c>
      <c r="S40" s="13">
        <v>16</v>
      </c>
      <c r="T40" s="13">
        <v>17</v>
      </c>
      <c r="U40" s="13">
        <v>18</v>
      </c>
      <c r="V40" s="13">
        <v>19</v>
      </c>
      <c r="W40" s="13">
        <v>20</v>
      </c>
      <c r="Z40" s="19" cm="1">
        <f t="array" ref="Z40:AS40">time_index</f>
        <v>1</v>
      </c>
      <c r="AA40">
        <v>2</v>
      </c>
      <c r="AB40" s="13">
        <v>3</v>
      </c>
      <c r="AC40" s="13">
        <v>4</v>
      </c>
      <c r="AD40" s="13">
        <v>5</v>
      </c>
      <c r="AE40" s="13">
        <v>6</v>
      </c>
      <c r="AF40" s="13">
        <v>7</v>
      </c>
      <c r="AG40" s="13">
        <v>8</v>
      </c>
      <c r="AH40" s="13">
        <v>9</v>
      </c>
      <c r="AI40" s="13">
        <v>10</v>
      </c>
      <c r="AJ40" s="13">
        <v>11</v>
      </c>
      <c r="AK40" s="13">
        <v>12</v>
      </c>
      <c r="AL40" s="13">
        <v>13</v>
      </c>
      <c r="AM40" s="13">
        <v>14</v>
      </c>
      <c r="AN40" s="13">
        <v>15</v>
      </c>
      <c r="AO40" s="13">
        <v>16</v>
      </c>
      <c r="AP40" s="13">
        <v>17</v>
      </c>
      <c r="AQ40" s="13">
        <v>18</v>
      </c>
      <c r="AR40" s="13">
        <v>19</v>
      </c>
      <c r="AS40" s="13">
        <v>20</v>
      </c>
      <c r="AV40" s="19" cm="1">
        <f t="array" ref="AV40:BO40">time_index</f>
        <v>1</v>
      </c>
      <c r="AW40">
        <v>2</v>
      </c>
      <c r="AX40" s="13">
        <v>3</v>
      </c>
      <c r="AY40" s="13">
        <v>4</v>
      </c>
      <c r="AZ40" s="13">
        <v>5</v>
      </c>
      <c r="BA40" s="13">
        <v>6</v>
      </c>
      <c r="BB40" s="13">
        <v>7</v>
      </c>
      <c r="BC40" s="13">
        <v>8</v>
      </c>
      <c r="BD40" s="13">
        <v>9</v>
      </c>
      <c r="BE40" s="13">
        <v>10</v>
      </c>
      <c r="BF40" s="13">
        <v>11</v>
      </c>
      <c r="BG40" s="13">
        <v>12</v>
      </c>
      <c r="BH40" s="13">
        <v>13</v>
      </c>
      <c r="BI40" s="13">
        <v>14</v>
      </c>
      <c r="BJ40" s="13">
        <v>15</v>
      </c>
      <c r="BK40" s="13">
        <v>16</v>
      </c>
      <c r="BL40" s="13">
        <v>17</v>
      </c>
      <c r="BM40" s="13">
        <v>18</v>
      </c>
      <c r="BN40" s="13">
        <v>19</v>
      </c>
      <c r="BO40" s="13">
        <v>20</v>
      </c>
    </row>
    <row r="41" spans="1:67" ht="30" x14ac:dyDescent="0.25">
      <c r="A41" s="130"/>
      <c r="C41" s="57" t="s">
        <v>156</v>
      </c>
      <c r="D41" s="53" cm="1">
        <f t="array" ref="D41:W41">years</f>
        <v>2018</v>
      </c>
      <c r="E41" s="53">
        <v>2019</v>
      </c>
      <c r="F41" s="53">
        <v>2020</v>
      </c>
      <c r="G41" s="53">
        <v>2021</v>
      </c>
      <c r="H41" s="53">
        <v>2022</v>
      </c>
      <c r="I41" s="53">
        <v>2023</v>
      </c>
      <c r="J41" s="53">
        <v>2024</v>
      </c>
      <c r="K41" s="53">
        <v>2025</v>
      </c>
      <c r="L41" s="53">
        <v>2026</v>
      </c>
      <c r="M41" s="53">
        <v>2027</v>
      </c>
      <c r="N41" s="53">
        <v>2028</v>
      </c>
      <c r="O41" s="53">
        <v>2029</v>
      </c>
      <c r="P41" s="53">
        <v>2030</v>
      </c>
      <c r="Q41" s="53">
        <v>2031</v>
      </c>
      <c r="R41" s="53">
        <v>2032</v>
      </c>
      <c r="S41" s="53">
        <v>2033</v>
      </c>
      <c r="T41" s="53">
        <v>2034</v>
      </c>
      <c r="U41" s="53">
        <v>2035</v>
      </c>
      <c r="V41" s="53">
        <v>2036</v>
      </c>
      <c r="W41" s="53">
        <v>2037</v>
      </c>
      <c r="Z41" s="235" cm="1">
        <f t="array" ref="Z41:AS41">years</f>
        <v>2018</v>
      </c>
      <c r="AA41" s="54">
        <v>2019</v>
      </c>
      <c r="AB41" s="53">
        <v>2020</v>
      </c>
      <c r="AC41" s="53">
        <v>2021</v>
      </c>
      <c r="AD41" s="53">
        <v>2022</v>
      </c>
      <c r="AE41" s="53">
        <v>2023</v>
      </c>
      <c r="AF41" s="53">
        <v>2024</v>
      </c>
      <c r="AG41" s="53">
        <v>2025</v>
      </c>
      <c r="AH41" s="53">
        <v>2026</v>
      </c>
      <c r="AI41" s="53">
        <v>2027</v>
      </c>
      <c r="AJ41" s="53">
        <v>2028</v>
      </c>
      <c r="AK41" s="53">
        <v>2029</v>
      </c>
      <c r="AL41" s="53">
        <v>2030</v>
      </c>
      <c r="AM41" s="53">
        <v>2031</v>
      </c>
      <c r="AN41" s="53">
        <v>2032</v>
      </c>
      <c r="AO41" s="53">
        <v>2033</v>
      </c>
      <c r="AP41" s="53">
        <v>2034</v>
      </c>
      <c r="AQ41" s="53">
        <v>2035</v>
      </c>
      <c r="AR41" s="53">
        <v>2036</v>
      </c>
      <c r="AS41" s="53">
        <v>2037</v>
      </c>
      <c r="AV41" s="213" cm="1">
        <f t="array" ref="AV41:BO41">years</f>
        <v>2018</v>
      </c>
      <c r="AW41" s="214">
        <v>2019</v>
      </c>
      <c r="AX41" s="203">
        <v>2020</v>
      </c>
      <c r="AY41" s="203">
        <v>2021</v>
      </c>
      <c r="AZ41" s="203">
        <v>2022</v>
      </c>
      <c r="BA41" s="203">
        <v>2023</v>
      </c>
      <c r="BB41" s="203">
        <v>2024</v>
      </c>
      <c r="BC41" s="203">
        <v>2025</v>
      </c>
      <c r="BD41" s="203">
        <v>2026</v>
      </c>
      <c r="BE41" s="203">
        <v>2027</v>
      </c>
      <c r="BF41" s="203">
        <v>2028</v>
      </c>
      <c r="BG41" s="203">
        <v>2029</v>
      </c>
      <c r="BH41" s="203">
        <v>2030</v>
      </c>
      <c r="BI41" s="203">
        <v>2031</v>
      </c>
      <c r="BJ41" s="203">
        <v>2032</v>
      </c>
      <c r="BK41" s="203">
        <v>2033</v>
      </c>
      <c r="BL41" s="203">
        <v>2034</v>
      </c>
      <c r="BM41" s="203">
        <v>2035</v>
      </c>
      <c r="BN41" s="203">
        <v>2036</v>
      </c>
      <c r="BO41" s="203">
        <v>2037</v>
      </c>
    </row>
    <row r="42" spans="1:67" x14ac:dyDescent="0.25">
      <c r="A42" s="7" t="str" cm="1">
        <f t="array" ref="A42:A57">core_elements</f>
        <v>Application server hardware</v>
      </c>
      <c r="C42" s="10">
        <v>8</v>
      </c>
      <c r="D42" s="27">
        <f>D15</f>
        <v>4</v>
      </c>
      <c r="E42" s="27">
        <f>MAX(E15-D86,0)</f>
        <v>0</v>
      </c>
      <c r="F42" s="27">
        <f t="shared" ref="F42:W42" si="0">MAX(F15-E86,0)</f>
        <v>0</v>
      </c>
      <c r="G42" s="27">
        <f t="shared" si="0"/>
        <v>0</v>
      </c>
      <c r="H42" s="27">
        <f t="shared" si="0"/>
        <v>0</v>
      </c>
      <c r="I42" s="27">
        <f t="shared" si="0"/>
        <v>0</v>
      </c>
      <c r="J42" s="27">
        <f t="shared" si="0"/>
        <v>0</v>
      </c>
      <c r="K42" s="27">
        <f t="shared" si="0"/>
        <v>0</v>
      </c>
      <c r="L42" s="27">
        <f t="shared" si="0"/>
        <v>4</v>
      </c>
      <c r="M42" s="27">
        <f t="shared" si="0"/>
        <v>0</v>
      </c>
      <c r="N42" s="27">
        <f t="shared" si="0"/>
        <v>0</v>
      </c>
      <c r="O42" s="27">
        <f t="shared" si="0"/>
        <v>0</v>
      </c>
      <c r="P42" s="27">
        <f t="shared" si="0"/>
        <v>0</v>
      </c>
      <c r="Q42" s="27">
        <f t="shared" si="0"/>
        <v>0</v>
      </c>
      <c r="R42" s="27">
        <f t="shared" si="0"/>
        <v>0</v>
      </c>
      <c r="S42" s="27">
        <f t="shared" si="0"/>
        <v>0</v>
      </c>
      <c r="T42" s="27">
        <f t="shared" si="0"/>
        <v>4</v>
      </c>
      <c r="U42" s="27">
        <f t="shared" si="0"/>
        <v>0</v>
      </c>
      <c r="V42" s="27">
        <f t="shared" si="0"/>
        <v>0</v>
      </c>
      <c r="W42" s="27">
        <f t="shared" si="0"/>
        <v>0</v>
      </c>
      <c r="Z42" s="27">
        <f>Z15</f>
        <v>2</v>
      </c>
      <c r="AA42" s="27">
        <f t="shared" ref="AA42:AS42" si="1">MAX(AA15-Z86,0)</f>
        <v>0</v>
      </c>
      <c r="AB42" s="27">
        <f t="shared" si="1"/>
        <v>0</v>
      </c>
      <c r="AC42" s="27">
        <f t="shared" si="1"/>
        <v>0</v>
      </c>
      <c r="AD42" s="27">
        <f t="shared" si="1"/>
        <v>0</v>
      </c>
      <c r="AE42" s="27">
        <f t="shared" si="1"/>
        <v>0</v>
      </c>
      <c r="AF42" s="27">
        <f t="shared" si="1"/>
        <v>0</v>
      </c>
      <c r="AG42" s="27">
        <f t="shared" si="1"/>
        <v>0</v>
      </c>
      <c r="AH42" s="27">
        <f t="shared" si="1"/>
        <v>2</v>
      </c>
      <c r="AI42" s="27">
        <f t="shared" si="1"/>
        <v>0</v>
      </c>
      <c r="AJ42" s="27">
        <f t="shared" si="1"/>
        <v>0</v>
      </c>
      <c r="AK42" s="27">
        <f t="shared" si="1"/>
        <v>0</v>
      </c>
      <c r="AL42" s="27">
        <f t="shared" si="1"/>
        <v>0</v>
      </c>
      <c r="AM42" s="27">
        <f t="shared" si="1"/>
        <v>0</v>
      </c>
      <c r="AN42" s="27">
        <f t="shared" si="1"/>
        <v>0</v>
      </c>
      <c r="AO42" s="27">
        <f t="shared" si="1"/>
        <v>0</v>
      </c>
      <c r="AP42" s="27">
        <f t="shared" si="1"/>
        <v>2</v>
      </c>
      <c r="AQ42" s="27">
        <f t="shared" si="1"/>
        <v>0</v>
      </c>
      <c r="AR42" s="27">
        <f t="shared" si="1"/>
        <v>0</v>
      </c>
      <c r="AS42" s="27">
        <f t="shared" si="1"/>
        <v>0</v>
      </c>
      <c r="AV42" s="27">
        <f>D42-Z42</f>
        <v>2</v>
      </c>
      <c r="AW42" s="27">
        <f t="shared" ref="AW42:BO55" si="2">E42-AA42</f>
        <v>0</v>
      </c>
      <c r="AX42" s="27">
        <f t="shared" si="2"/>
        <v>0</v>
      </c>
      <c r="AY42" s="27">
        <f t="shared" si="2"/>
        <v>0</v>
      </c>
      <c r="AZ42" s="27">
        <f t="shared" si="2"/>
        <v>0</v>
      </c>
      <c r="BA42" s="27">
        <f t="shared" si="2"/>
        <v>0</v>
      </c>
      <c r="BB42" s="27">
        <f t="shared" si="2"/>
        <v>0</v>
      </c>
      <c r="BC42" s="27">
        <f t="shared" si="2"/>
        <v>0</v>
      </c>
      <c r="BD42" s="27">
        <f t="shared" si="2"/>
        <v>2</v>
      </c>
      <c r="BE42" s="27">
        <f t="shared" si="2"/>
        <v>0</v>
      </c>
      <c r="BF42" s="27">
        <f t="shared" si="2"/>
        <v>0</v>
      </c>
      <c r="BG42" s="27">
        <f t="shared" si="2"/>
        <v>0</v>
      </c>
      <c r="BH42" s="27">
        <f t="shared" si="2"/>
        <v>0</v>
      </c>
      <c r="BI42" s="27">
        <f t="shared" si="2"/>
        <v>0</v>
      </c>
      <c r="BJ42" s="27">
        <f t="shared" si="2"/>
        <v>0</v>
      </c>
      <c r="BK42" s="27">
        <f t="shared" si="2"/>
        <v>0</v>
      </c>
      <c r="BL42" s="27">
        <f t="shared" si="2"/>
        <v>2</v>
      </c>
      <c r="BM42" s="27">
        <f t="shared" si="2"/>
        <v>0</v>
      </c>
      <c r="BN42" s="27">
        <f t="shared" si="2"/>
        <v>0</v>
      </c>
      <c r="BO42" s="27">
        <f t="shared" si="2"/>
        <v>0</v>
      </c>
    </row>
    <row r="43" spans="1:67" x14ac:dyDescent="0.25">
      <c r="A43" s="7" t="str">
        <v>Application server software</v>
      </c>
      <c r="C43" s="10">
        <v>8</v>
      </c>
      <c r="D43" s="27">
        <f t="shared" ref="D43:D56" si="3">D16</f>
        <v>4</v>
      </c>
      <c r="E43" s="27">
        <f t="shared" ref="E43:W43" si="4">MAX(E16-D87,0)</f>
        <v>0</v>
      </c>
      <c r="F43" s="27">
        <f t="shared" si="4"/>
        <v>0</v>
      </c>
      <c r="G43" s="27">
        <f t="shared" si="4"/>
        <v>0</v>
      </c>
      <c r="H43" s="27">
        <f t="shared" si="4"/>
        <v>0</v>
      </c>
      <c r="I43" s="27">
        <f t="shared" si="4"/>
        <v>0</v>
      </c>
      <c r="J43" s="27">
        <f t="shared" si="4"/>
        <v>0</v>
      </c>
      <c r="K43" s="27">
        <f t="shared" si="4"/>
        <v>0</v>
      </c>
      <c r="L43" s="27">
        <f t="shared" si="4"/>
        <v>4</v>
      </c>
      <c r="M43" s="27">
        <f t="shared" si="4"/>
        <v>0</v>
      </c>
      <c r="N43" s="27">
        <f t="shared" si="4"/>
        <v>0</v>
      </c>
      <c r="O43" s="27">
        <f t="shared" si="4"/>
        <v>0</v>
      </c>
      <c r="P43" s="27">
        <f t="shared" si="4"/>
        <v>0</v>
      </c>
      <c r="Q43" s="27">
        <f t="shared" si="4"/>
        <v>0</v>
      </c>
      <c r="R43" s="27">
        <f t="shared" si="4"/>
        <v>0</v>
      </c>
      <c r="S43" s="27">
        <f t="shared" si="4"/>
        <v>0</v>
      </c>
      <c r="T43" s="27">
        <f t="shared" si="4"/>
        <v>4</v>
      </c>
      <c r="U43" s="27">
        <f t="shared" si="4"/>
        <v>0</v>
      </c>
      <c r="V43" s="27">
        <f t="shared" si="4"/>
        <v>0</v>
      </c>
      <c r="W43" s="27">
        <f t="shared" si="4"/>
        <v>0</v>
      </c>
      <c r="Z43" s="27">
        <f t="shared" ref="Z43:Z57" si="5">Z16</f>
        <v>2</v>
      </c>
      <c r="AA43" s="27">
        <f t="shared" ref="AA43:AS43" si="6">MAX(AA16-Z87,0)</f>
        <v>0</v>
      </c>
      <c r="AB43" s="27">
        <f t="shared" si="6"/>
        <v>0</v>
      </c>
      <c r="AC43" s="27">
        <f t="shared" si="6"/>
        <v>0</v>
      </c>
      <c r="AD43" s="27">
        <f t="shared" si="6"/>
        <v>0</v>
      </c>
      <c r="AE43" s="27">
        <f t="shared" si="6"/>
        <v>0</v>
      </c>
      <c r="AF43" s="27">
        <f t="shared" si="6"/>
        <v>0</v>
      </c>
      <c r="AG43" s="27">
        <f t="shared" si="6"/>
        <v>0</v>
      </c>
      <c r="AH43" s="27">
        <f t="shared" si="6"/>
        <v>2</v>
      </c>
      <c r="AI43" s="27">
        <f t="shared" si="6"/>
        <v>0</v>
      </c>
      <c r="AJ43" s="27">
        <f t="shared" si="6"/>
        <v>0</v>
      </c>
      <c r="AK43" s="27">
        <f t="shared" si="6"/>
        <v>0</v>
      </c>
      <c r="AL43" s="27">
        <f t="shared" si="6"/>
        <v>0</v>
      </c>
      <c r="AM43" s="27">
        <f t="shared" si="6"/>
        <v>0</v>
      </c>
      <c r="AN43" s="27">
        <f t="shared" si="6"/>
        <v>0</v>
      </c>
      <c r="AO43" s="27">
        <f t="shared" si="6"/>
        <v>0</v>
      </c>
      <c r="AP43" s="27">
        <f t="shared" si="6"/>
        <v>2</v>
      </c>
      <c r="AQ43" s="27">
        <f t="shared" si="6"/>
        <v>0</v>
      </c>
      <c r="AR43" s="27">
        <f t="shared" si="6"/>
        <v>0</v>
      </c>
      <c r="AS43" s="27">
        <f t="shared" si="6"/>
        <v>0</v>
      </c>
      <c r="AV43" s="27">
        <f t="shared" ref="AV43:AV57" si="7">D43-Z43</f>
        <v>2</v>
      </c>
      <c r="AW43" s="27">
        <f t="shared" si="2"/>
        <v>0</v>
      </c>
      <c r="AX43" s="27">
        <f t="shared" si="2"/>
        <v>0</v>
      </c>
      <c r="AY43" s="27">
        <f t="shared" si="2"/>
        <v>0</v>
      </c>
      <c r="AZ43" s="27">
        <f t="shared" si="2"/>
        <v>0</v>
      </c>
      <c r="BA43" s="27">
        <f t="shared" si="2"/>
        <v>0</v>
      </c>
      <c r="BB43" s="27">
        <f t="shared" si="2"/>
        <v>0</v>
      </c>
      <c r="BC43" s="27">
        <f t="shared" si="2"/>
        <v>0</v>
      </c>
      <c r="BD43" s="27">
        <f t="shared" si="2"/>
        <v>2</v>
      </c>
      <c r="BE43" s="27">
        <f t="shared" si="2"/>
        <v>0</v>
      </c>
      <c r="BF43" s="27">
        <f t="shared" si="2"/>
        <v>0</v>
      </c>
      <c r="BG43" s="27">
        <f t="shared" si="2"/>
        <v>0</v>
      </c>
      <c r="BH43" s="27">
        <f t="shared" si="2"/>
        <v>0</v>
      </c>
      <c r="BI43" s="27">
        <f t="shared" si="2"/>
        <v>0</v>
      </c>
      <c r="BJ43" s="27">
        <f t="shared" si="2"/>
        <v>0</v>
      </c>
      <c r="BK43" s="27">
        <f t="shared" si="2"/>
        <v>0</v>
      </c>
      <c r="BL43" s="27">
        <f t="shared" si="2"/>
        <v>2</v>
      </c>
      <c r="BM43" s="27">
        <f t="shared" si="2"/>
        <v>0</v>
      </c>
      <c r="BN43" s="27">
        <f t="shared" si="2"/>
        <v>0</v>
      </c>
      <c r="BO43" s="27">
        <f t="shared" si="2"/>
        <v>0</v>
      </c>
    </row>
    <row r="44" spans="1:67" x14ac:dyDescent="0.25">
      <c r="A44" s="7" t="str">
        <v>Charging data function hardware</v>
      </c>
      <c r="C44" s="10">
        <v>8</v>
      </c>
      <c r="D44" s="27">
        <f t="shared" si="3"/>
        <v>2</v>
      </c>
      <c r="E44" s="27">
        <f t="shared" ref="E44:W44" si="8">MAX(E17-D88,0)</f>
        <v>0</v>
      </c>
      <c r="F44" s="27">
        <f t="shared" si="8"/>
        <v>0</v>
      </c>
      <c r="G44" s="27">
        <f t="shared" si="8"/>
        <v>0</v>
      </c>
      <c r="H44" s="27">
        <f t="shared" si="8"/>
        <v>0</v>
      </c>
      <c r="I44" s="27">
        <f t="shared" si="8"/>
        <v>0</v>
      </c>
      <c r="J44" s="27">
        <f t="shared" si="8"/>
        <v>0</v>
      </c>
      <c r="K44" s="27">
        <f t="shared" si="8"/>
        <v>0</v>
      </c>
      <c r="L44" s="27">
        <f t="shared" si="8"/>
        <v>2</v>
      </c>
      <c r="M44" s="27">
        <f t="shared" si="8"/>
        <v>0</v>
      </c>
      <c r="N44" s="27">
        <f t="shared" si="8"/>
        <v>0</v>
      </c>
      <c r="O44" s="27">
        <f t="shared" si="8"/>
        <v>0</v>
      </c>
      <c r="P44" s="27">
        <f t="shared" si="8"/>
        <v>0</v>
      </c>
      <c r="Q44" s="27">
        <f t="shared" si="8"/>
        <v>0</v>
      </c>
      <c r="R44" s="27">
        <f t="shared" si="8"/>
        <v>0</v>
      </c>
      <c r="S44" s="27">
        <f t="shared" si="8"/>
        <v>0</v>
      </c>
      <c r="T44" s="27">
        <f t="shared" si="8"/>
        <v>2</v>
      </c>
      <c r="U44" s="27">
        <f t="shared" si="8"/>
        <v>0</v>
      </c>
      <c r="V44" s="27">
        <f t="shared" si="8"/>
        <v>0</v>
      </c>
      <c r="W44" s="27">
        <f t="shared" si="8"/>
        <v>0</v>
      </c>
      <c r="Z44" s="27">
        <f t="shared" si="5"/>
        <v>2</v>
      </c>
      <c r="AA44" s="27">
        <f t="shared" ref="AA44:AS44" si="9">MAX(AA17-Z88,0)</f>
        <v>0</v>
      </c>
      <c r="AB44" s="27">
        <f t="shared" si="9"/>
        <v>0</v>
      </c>
      <c r="AC44" s="27">
        <f t="shared" si="9"/>
        <v>0</v>
      </c>
      <c r="AD44" s="27">
        <f t="shared" si="9"/>
        <v>0</v>
      </c>
      <c r="AE44" s="27">
        <f t="shared" si="9"/>
        <v>0</v>
      </c>
      <c r="AF44" s="27">
        <f t="shared" si="9"/>
        <v>0</v>
      </c>
      <c r="AG44" s="27">
        <f t="shared" si="9"/>
        <v>0</v>
      </c>
      <c r="AH44" s="27">
        <f t="shared" si="9"/>
        <v>2</v>
      </c>
      <c r="AI44" s="27">
        <f t="shared" si="9"/>
        <v>0</v>
      </c>
      <c r="AJ44" s="27">
        <f t="shared" si="9"/>
        <v>0</v>
      </c>
      <c r="AK44" s="27">
        <f t="shared" si="9"/>
        <v>0</v>
      </c>
      <c r="AL44" s="27">
        <f t="shared" si="9"/>
        <v>0</v>
      </c>
      <c r="AM44" s="27">
        <f t="shared" si="9"/>
        <v>0</v>
      </c>
      <c r="AN44" s="27">
        <f t="shared" si="9"/>
        <v>0</v>
      </c>
      <c r="AO44" s="27">
        <f t="shared" si="9"/>
        <v>0</v>
      </c>
      <c r="AP44" s="27">
        <f t="shared" si="9"/>
        <v>2</v>
      </c>
      <c r="AQ44" s="27">
        <f t="shared" si="9"/>
        <v>0</v>
      </c>
      <c r="AR44" s="27">
        <f t="shared" si="9"/>
        <v>0</v>
      </c>
      <c r="AS44" s="27">
        <f t="shared" si="9"/>
        <v>0</v>
      </c>
      <c r="AV44" s="27">
        <f t="shared" si="7"/>
        <v>0</v>
      </c>
      <c r="AW44" s="27">
        <f t="shared" si="2"/>
        <v>0</v>
      </c>
      <c r="AX44" s="27">
        <f t="shared" si="2"/>
        <v>0</v>
      </c>
      <c r="AY44" s="27">
        <f t="shared" si="2"/>
        <v>0</v>
      </c>
      <c r="AZ44" s="27">
        <f t="shared" si="2"/>
        <v>0</v>
      </c>
      <c r="BA44" s="27">
        <f t="shared" si="2"/>
        <v>0</v>
      </c>
      <c r="BB44" s="27">
        <f t="shared" si="2"/>
        <v>0</v>
      </c>
      <c r="BC44" s="27">
        <f t="shared" si="2"/>
        <v>0</v>
      </c>
      <c r="BD44" s="27">
        <f t="shared" si="2"/>
        <v>0</v>
      </c>
      <c r="BE44" s="27">
        <f t="shared" si="2"/>
        <v>0</v>
      </c>
      <c r="BF44" s="27">
        <f t="shared" si="2"/>
        <v>0</v>
      </c>
      <c r="BG44" s="27">
        <f t="shared" si="2"/>
        <v>0</v>
      </c>
      <c r="BH44" s="27">
        <f t="shared" si="2"/>
        <v>0</v>
      </c>
      <c r="BI44" s="27">
        <f t="shared" si="2"/>
        <v>0</v>
      </c>
      <c r="BJ44" s="27">
        <f t="shared" si="2"/>
        <v>0</v>
      </c>
      <c r="BK44" s="27">
        <f t="shared" si="2"/>
        <v>0</v>
      </c>
      <c r="BL44" s="27">
        <f t="shared" si="2"/>
        <v>0</v>
      </c>
      <c r="BM44" s="27">
        <f t="shared" si="2"/>
        <v>0</v>
      </c>
      <c r="BN44" s="27">
        <f t="shared" si="2"/>
        <v>0</v>
      </c>
      <c r="BO44" s="27">
        <f t="shared" si="2"/>
        <v>0</v>
      </c>
    </row>
    <row r="45" spans="1:67" x14ac:dyDescent="0.25">
      <c r="A45" s="7" t="str">
        <v>Charging data function software</v>
      </c>
      <c r="C45" s="10">
        <v>8</v>
      </c>
      <c r="D45" s="27">
        <f t="shared" si="3"/>
        <v>2</v>
      </c>
      <c r="E45" s="27">
        <f t="shared" ref="E45:W45" si="10">MAX(E18-D89,0)</f>
        <v>0</v>
      </c>
      <c r="F45" s="27">
        <f t="shared" si="10"/>
        <v>0</v>
      </c>
      <c r="G45" s="27">
        <f t="shared" si="10"/>
        <v>0</v>
      </c>
      <c r="H45" s="27">
        <f t="shared" si="10"/>
        <v>0</v>
      </c>
      <c r="I45" s="27">
        <f t="shared" si="10"/>
        <v>0</v>
      </c>
      <c r="J45" s="27">
        <f t="shared" si="10"/>
        <v>0</v>
      </c>
      <c r="K45" s="27">
        <f t="shared" si="10"/>
        <v>0</v>
      </c>
      <c r="L45" s="27">
        <f t="shared" si="10"/>
        <v>2</v>
      </c>
      <c r="M45" s="27">
        <f t="shared" si="10"/>
        <v>0</v>
      </c>
      <c r="N45" s="27">
        <f t="shared" si="10"/>
        <v>0</v>
      </c>
      <c r="O45" s="27">
        <f t="shared" si="10"/>
        <v>0</v>
      </c>
      <c r="P45" s="27">
        <f t="shared" si="10"/>
        <v>0</v>
      </c>
      <c r="Q45" s="27">
        <f t="shared" si="10"/>
        <v>0</v>
      </c>
      <c r="R45" s="27">
        <f t="shared" si="10"/>
        <v>0</v>
      </c>
      <c r="S45" s="27">
        <f t="shared" si="10"/>
        <v>0</v>
      </c>
      <c r="T45" s="27">
        <f t="shared" si="10"/>
        <v>2</v>
      </c>
      <c r="U45" s="27">
        <f t="shared" si="10"/>
        <v>0</v>
      </c>
      <c r="V45" s="27">
        <f t="shared" si="10"/>
        <v>0</v>
      </c>
      <c r="W45" s="27">
        <f t="shared" si="10"/>
        <v>0</v>
      </c>
      <c r="Z45" s="27">
        <f t="shared" si="5"/>
        <v>2</v>
      </c>
      <c r="AA45" s="27">
        <f t="shared" ref="AA45:AS45" si="11">MAX(AA18-Z89,0)</f>
        <v>0</v>
      </c>
      <c r="AB45" s="27">
        <f t="shared" si="11"/>
        <v>0</v>
      </c>
      <c r="AC45" s="27">
        <f t="shared" si="11"/>
        <v>0</v>
      </c>
      <c r="AD45" s="27">
        <f t="shared" si="11"/>
        <v>0</v>
      </c>
      <c r="AE45" s="27">
        <f t="shared" si="11"/>
        <v>0</v>
      </c>
      <c r="AF45" s="27">
        <f t="shared" si="11"/>
        <v>0</v>
      </c>
      <c r="AG45" s="27">
        <f t="shared" si="11"/>
        <v>0</v>
      </c>
      <c r="AH45" s="27">
        <f t="shared" si="11"/>
        <v>2</v>
      </c>
      <c r="AI45" s="27">
        <f t="shared" si="11"/>
        <v>0</v>
      </c>
      <c r="AJ45" s="27">
        <f t="shared" si="11"/>
        <v>0</v>
      </c>
      <c r="AK45" s="27">
        <f t="shared" si="11"/>
        <v>0</v>
      </c>
      <c r="AL45" s="27">
        <f t="shared" si="11"/>
        <v>0</v>
      </c>
      <c r="AM45" s="27">
        <f t="shared" si="11"/>
        <v>0</v>
      </c>
      <c r="AN45" s="27">
        <f t="shared" si="11"/>
        <v>0</v>
      </c>
      <c r="AO45" s="27">
        <f t="shared" si="11"/>
        <v>0</v>
      </c>
      <c r="AP45" s="27">
        <f t="shared" si="11"/>
        <v>2</v>
      </c>
      <c r="AQ45" s="27">
        <f t="shared" si="11"/>
        <v>0</v>
      </c>
      <c r="AR45" s="27">
        <f t="shared" si="11"/>
        <v>0</v>
      </c>
      <c r="AS45" s="27">
        <f t="shared" si="11"/>
        <v>0</v>
      </c>
      <c r="AV45" s="27">
        <f t="shared" si="7"/>
        <v>0</v>
      </c>
      <c r="AW45" s="27">
        <f t="shared" si="2"/>
        <v>0</v>
      </c>
      <c r="AX45" s="27">
        <f t="shared" si="2"/>
        <v>0</v>
      </c>
      <c r="AY45" s="27">
        <f t="shared" si="2"/>
        <v>0</v>
      </c>
      <c r="AZ45" s="27">
        <f t="shared" si="2"/>
        <v>0</v>
      </c>
      <c r="BA45" s="27">
        <f t="shared" si="2"/>
        <v>0</v>
      </c>
      <c r="BB45" s="27">
        <f t="shared" si="2"/>
        <v>0</v>
      </c>
      <c r="BC45" s="27">
        <f t="shared" si="2"/>
        <v>0</v>
      </c>
      <c r="BD45" s="27">
        <f t="shared" si="2"/>
        <v>0</v>
      </c>
      <c r="BE45" s="27">
        <f t="shared" si="2"/>
        <v>0</v>
      </c>
      <c r="BF45" s="27">
        <f t="shared" si="2"/>
        <v>0</v>
      </c>
      <c r="BG45" s="27">
        <f t="shared" si="2"/>
        <v>0</v>
      </c>
      <c r="BH45" s="27">
        <f t="shared" si="2"/>
        <v>0</v>
      </c>
      <c r="BI45" s="27">
        <f t="shared" si="2"/>
        <v>0</v>
      </c>
      <c r="BJ45" s="27">
        <f t="shared" si="2"/>
        <v>0</v>
      </c>
      <c r="BK45" s="27">
        <f t="shared" si="2"/>
        <v>0</v>
      </c>
      <c r="BL45" s="27">
        <f t="shared" si="2"/>
        <v>0</v>
      </c>
      <c r="BM45" s="27">
        <f t="shared" si="2"/>
        <v>0</v>
      </c>
      <c r="BN45" s="27">
        <f t="shared" si="2"/>
        <v>0</v>
      </c>
      <c r="BO45" s="27">
        <f t="shared" si="2"/>
        <v>0</v>
      </c>
    </row>
    <row r="46" spans="1:67" x14ac:dyDescent="0.25">
      <c r="A46" s="7" t="str">
        <v>Proxy - Call session control function hardware</v>
      </c>
      <c r="C46" s="10">
        <v>8</v>
      </c>
      <c r="D46" s="27">
        <f>D19</f>
        <v>4</v>
      </c>
      <c r="E46" s="27">
        <f t="shared" ref="E46:W46" si="12">MAX(E19-D90,0)</f>
        <v>0</v>
      </c>
      <c r="F46" s="27">
        <f t="shared" si="12"/>
        <v>0</v>
      </c>
      <c r="G46" s="27">
        <f t="shared" si="12"/>
        <v>0</v>
      </c>
      <c r="H46" s="27">
        <f t="shared" si="12"/>
        <v>0</v>
      </c>
      <c r="I46" s="27">
        <f t="shared" si="12"/>
        <v>0</v>
      </c>
      <c r="J46" s="27">
        <f t="shared" si="12"/>
        <v>0</v>
      </c>
      <c r="K46" s="27">
        <f t="shared" si="12"/>
        <v>0</v>
      </c>
      <c r="L46" s="27">
        <f t="shared" si="12"/>
        <v>4</v>
      </c>
      <c r="M46" s="27">
        <f t="shared" si="12"/>
        <v>0</v>
      </c>
      <c r="N46" s="27">
        <f t="shared" si="12"/>
        <v>0</v>
      </c>
      <c r="O46" s="27">
        <f t="shared" si="12"/>
        <v>0</v>
      </c>
      <c r="P46" s="27">
        <f t="shared" si="12"/>
        <v>0</v>
      </c>
      <c r="Q46" s="27">
        <f t="shared" si="12"/>
        <v>2</v>
      </c>
      <c r="R46" s="27">
        <f t="shared" si="12"/>
        <v>0</v>
      </c>
      <c r="S46" s="27">
        <f t="shared" si="12"/>
        <v>0</v>
      </c>
      <c r="T46" s="27">
        <f t="shared" si="12"/>
        <v>4</v>
      </c>
      <c r="U46" s="27">
        <f t="shared" si="12"/>
        <v>0</v>
      </c>
      <c r="V46" s="27">
        <f t="shared" si="12"/>
        <v>0</v>
      </c>
      <c r="W46" s="27">
        <f t="shared" si="12"/>
        <v>0</v>
      </c>
      <c r="Z46" s="27">
        <f t="shared" si="5"/>
        <v>2</v>
      </c>
      <c r="AA46" s="27">
        <f t="shared" ref="AA46:AS46" si="13">MAX(AA19-Z90,0)</f>
        <v>0</v>
      </c>
      <c r="AB46" s="27">
        <f t="shared" si="13"/>
        <v>0</v>
      </c>
      <c r="AC46" s="27">
        <f t="shared" si="13"/>
        <v>0</v>
      </c>
      <c r="AD46" s="27">
        <f t="shared" si="13"/>
        <v>0</v>
      </c>
      <c r="AE46" s="27">
        <f t="shared" si="13"/>
        <v>0</v>
      </c>
      <c r="AF46" s="27">
        <f t="shared" si="13"/>
        <v>0</v>
      </c>
      <c r="AG46" s="27">
        <f t="shared" si="13"/>
        <v>0</v>
      </c>
      <c r="AH46" s="27">
        <f t="shared" si="13"/>
        <v>2</v>
      </c>
      <c r="AI46" s="27">
        <f t="shared" si="13"/>
        <v>0</v>
      </c>
      <c r="AJ46" s="27">
        <f t="shared" si="13"/>
        <v>0</v>
      </c>
      <c r="AK46" s="27">
        <f t="shared" si="13"/>
        <v>0</v>
      </c>
      <c r="AL46" s="27">
        <f t="shared" si="13"/>
        <v>0</v>
      </c>
      <c r="AM46" s="27">
        <f t="shared" si="13"/>
        <v>0</v>
      </c>
      <c r="AN46" s="27">
        <f t="shared" si="13"/>
        <v>0</v>
      </c>
      <c r="AO46" s="27">
        <f t="shared" si="13"/>
        <v>0</v>
      </c>
      <c r="AP46" s="27">
        <f t="shared" si="13"/>
        <v>2</v>
      </c>
      <c r="AQ46" s="27">
        <f t="shared" si="13"/>
        <v>0</v>
      </c>
      <c r="AR46" s="27">
        <f t="shared" si="13"/>
        <v>0</v>
      </c>
      <c r="AS46" s="27">
        <f t="shared" si="13"/>
        <v>0</v>
      </c>
      <c r="AV46" s="27">
        <f t="shared" si="7"/>
        <v>2</v>
      </c>
      <c r="AW46" s="27">
        <f t="shared" si="2"/>
        <v>0</v>
      </c>
      <c r="AX46" s="27">
        <f t="shared" si="2"/>
        <v>0</v>
      </c>
      <c r="AY46" s="27">
        <f t="shared" si="2"/>
        <v>0</v>
      </c>
      <c r="AZ46" s="27">
        <f t="shared" si="2"/>
        <v>0</v>
      </c>
      <c r="BA46" s="27">
        <f t="shared" si="2"/>
        <v>0</v>
      </c>
      <c r="BB46" s="27">
        <f t="shared" si="2"/>
        <v>0</v>
      </c>
      <c r="BC46" s="27">
        <f t="shared" si="2"/>
        <v>0</v>
      </c>
      <c r="BD46" s="27">
        <f t="shared" si="2"/>
        <v>2</v>
      </c>
      <c r="BE46" s="27">
        <f t="shared" si="2"/>
        <v>0</v>
      </c>
      <c r="BF46" s="27">
        <f t="shared" si="2"/>
        <v>0</v>
      </c>
      <c r="BG46" s="27">
        <f t="shared" si="2"/>
        <v>0</v>
      </c>
      <c r="BH46" s="27">
        <f t="shared" si="2"/>
        <v>0</v>
      </c>
      <c r="BI46" s="27">
        <f t="shared" si="2"/>
        <v>2</v>
      </c>
      <c r="BJ46" s="27">
        <f t="shared" si="2"/>
        <v>0</v>
      </c>
      <c r="BK46" s="27">
        <f t="shared" si="2"/>
        <v>0</v>
      </c>
      <c r="BL46" s="27">
        <f t="shared" si="2"/>
        <v>2</v>
      </c>
      <c r="BM46" s="27">
        <f t="shared" si="2"/>
        <v>0</v>
      </c>
      <c r="BN46" s="27">
        <f t="shared" si="2"/>
        <v>0</v>
      </c>
      <c r="BO46" s="27">
        <f t="shared" si="2"/>
        <v>0</v>
      </c>
    </row>
    <row r="47" spans="1:67" x14ac:dyDescent="0.25">
      <c r="A47" s="7" t="str">
        <v>Proxy - Call session control function software</v>
      </c>
      <c r="C47" s="10">
        <v>8</v>
      </c>
      <c r="D47" s="27">
        <f t="shared" si="3"/>
        <v>4</v>
      </c>
      <c r="E47" s="27">
        <f t="shared" ref="E47:W47" si="14">MAX(E20-D91,0)</f>
        <v>0</v>
      </c>
      <c r="F47" s="27">
        <f t="shared" si="14"/>
        <v>0</v>
      </c>
      <c r="G47" s="27">
        <f t="shared" si="14"/>
        <v>0</v>
      </c>
      <c r="H47" s="27">
        <f t="shared" si="14"/>
        <v>0</v>
      </c>
      <c r="I47" s="27">
        <f t="shared" si="14"/>
        <v>0</v>
      </c>
      <c r="J47" s="27">
        <f t="shared" si="14"/>
        <v>0</v>
      </c>
      <c r="K47" s="27">
        <f t="shared" si="14"/>
        <v>0</v>
      </c>
      <c r="L47" s="27">
        <f t="shared" si="14"/>
        <v>4</v>
      </c>
      <c r="M47" s="27">
        <f t="shared" si="14"/>
        <v>0</v>
      </c>
      <c r="N47" s="27">
        <f t="shared" si="14"/>
        <v>0</v>
      </c>
      <c r="O47" s="27">
        <f t="shared" si="14"/>
        <v>0</v>
      </c>
      <c r="P47" s="27">
        <f t="shared" si="14"/>
        <v>0</v>
      </c>
      <c r="Q47" s="27">
        <f t="shared" si="14"/>
        <v>0</v>
      </c>
      <c r="R47" s="27">
        <f t="shared" si="14"/>
        <v>0</v>
      </c>
      <c r="S47" s="27">
        <f t="shared" si="14"/>
        <v>0</v>
      </c>
      <c r="T47" s="27">
        <f t="shared" si="14"/>
        <v>4</v>
      </c>
      <c r="U47" s="27">
        <f t="shared" si="14"/>
        <v>0</v>
      </c>
      <c r="V47" s="27">
        <f t="shared" si="14"/>
        <v>0</v>
      </c>
      <c r="W47" s="27">
        <f t="shared" si="14"/>
        <v>0</v>
      </c>
      <c r="Z47" s="27">
        <f t="shared" si="5"/>
        <v>2</v>
      </c>
      <c r="AA47" s="27">
        <f t="shared" ref="AA47:AS47" si="15">MAX(AA20-Z91,0)</f>
        <v>0</v>
      </c>
      <c r="AB47" s="27">
        <f t="shared" si="15"/>
        <v>0</v>
      </c>
      <c r="AC47" s="27">
        <f t="shared" si="15"/>
        <v>0</v>
      </c>
      <c r="AD47" s="27">
        <f t="shared" si="15"/>
        <v>0</v>
      </c>
      <c r="AE47" s="27">
        <f t="shared" si="15"/>
        <v>0</v>
      </c>
      <c r="AF47" s="27">
        <f t="shared" si="15"/>
        <v>0</v>
      </c>
      <c r="AG47" s="27">
        <f t="shared" si="15"/>
        <v>0</v>
      </c>
      <c r="AH47" s="27">
        <f t="shared" si="15"/>
        <v>2</v>
      </c>
      <c r="AI47" s="27">
        <f t="shared" si="15"/>
        <v>0</v>
      </c>
      <c r="AJ47" s="27">
        <f t="shared" si="15"/>
        <v>0</v>
      </c>
      <c r="AK47" s="27">
        <f t="shared" si="15"/>
        <v>0</v>
      </c>
      <c r="AL47" s="27">
        <f t="shared" si="15"/>
        <v>0</v>
      </c>
      <c r="AM47" s="27">
        <f t="shared" si="15"/>
        <v>0</v>
      </c>
      <c r="AN47" s="27">
        <f t="shared" si="15"/>
        <v>0</v>
      </c>
      <c r="AO47" s="27">
        <f t="shared" si="15"/>
        <v>0</v>
      </c>
      <c r="AP47" s="27">
        <f t="shared" si="15"/>
        <v>2</v>
      </c>
      <c r="AQ47" s="27">
        <f t="shared" si="15"/>
        <v>0</v>
      </c>
      <c r="AR47" s="27">
        <f t="shared" si="15"/>
        <v>0</v>
      </c>
      <c r="AS47" s="27">
        <f t="shared" si="15"/>
        <v>0</v>
      </c>
      <c r="AV47" s="27">
        <f t="shared" si="7"/>
        <v>2</v>
      </c>
      <c r="AW47" s="27">
        <f t="shared" si="2"/>
        <v>0</v>
      </c>
      <c r="AX47" s="27">
        <f t="shared" si="2"/>
        <v>0</v>
      </c>
      <c r="AY47" s="27">
        <f t="shared" si="2"/>
        <v>0</v>
      </c>
      <c r="AZ47" s="27">
        <f t="shared" si="2"/>
        <v>0</v>
      </c>
      <c r="BA47" s="27">
        <f t="shared" si="2"/>
        <v>0</v>
      </c>
      <c r="BB47" s="27">
        <f t="shared" si="2"/>
        <v>0</v>
      </c>
      <c r="BC47" s="27">
        <f t="shared" si="2"/>
        <v>0</v>
      </c>
      <c r="BD47" s="27">
        <f t="shared" si="2"/>
        <v>2</v>
      </c>
      <c r="BE47" s="27">
        <f t="shared" si="2"/>
        <v>0</v>
      </c>
      <c r="BF47" s="27">
        <f t="shared" si="2"/>
        <v>0</v>
      </c>
      <c r="BG47" s="27">
        <f t="shared" si="2"/>
        <v>0</v>
      </c>
      <c r="BH47" s="27">
        <f t="shared" si="2"/>
        <v>0</v>
      </c>
      <c r="BI47" s="27">
        <f t="shared" si="2"/>
        <v>0</v>
      </c>
      <c r="BJ47" s="27">
        <f t="shared" si="2"/>
        <v>0</v>
      </c>
      <c r="BK47" s="27">
        <f t="shared" si="2"/>
        <v>0</v>
      </c>
      <c r="BL47" s="27">
        <f t="shared" si="2"/>
        <v>2</v>
      </c>
      <c r="BM47" s="27">
        <f t="shared" si="2"/>
        <v>0</v>
      </c>
      <c r="BN47" s="27">
        <f t="shared" si="2"/>
        <v>0</v>
      </c>
      <c r="BO47" s="27">
        <f t="shared" si="2"/>
        <v>0</v>
      </c>
    </row>
    <row r="48" spans="1:67" x14ac:dyDescent="0.25">
      <c r="A48" s="7" t="str">
        <v>Interrogating - Call session control function hardware</v>
      </c>
      <c r="C48" s="10">
        <v>8</v>
      </c>
      <c r="D48" s="27">
        <f t="shared" si="3"/>
        <v>4</v>
      </c>
      <c r="E48" s="27">
        <f t="shared" ref="E48:W48" si="16">MAX(E21-D92,0)</f>
        <v>0</v>
      </c>
      <c r="F48" s="27">
        <f t="shared" si="16"/>
        <v>0</v>
      </c>
      <c r="G48" s="27">
        <f t="shared" si="16"/>
        <v>0</v>
      </c>
      <c r="H48" s="27">
        <f t="shared" si="16"/>
        <v>0</v>
      </c>
      <c r="I48" s="27">
        <f t="shared" si="16"/>
        <v>0</v>
      </c>
      <c r="J48" s="27">
        <f t="shared" si="16"/>
        <v>0</v>
      </c>
      <c r="K48" s="27">
        <f t="shared" si="16"/>
        <v>0</v>
      </c>
      <c r="L48" s="27">
        <f t="shared" si="16"/>
        <v>4</v>
      </c>
      <c r="M48" s="27">
        <f t="shared" si="16"/>
        <v>0</v>
      </c>
      <c r="N48" s="27">
        <f t="shared" si="16"/>
        <v>0</v>
      </c>
      <c r="O48" s="27">
        <f t="shared" si="16"/>
        <v>0</v>
      </c>
      <c r="P48" s="27">
        <f t="shared" si="16"/>
        <v>0</v>
      </c>
      <c r="Q48" s="27">
        <f t="shared" si="16"/>
        <v>2</v>
      </c>
      <c r="R48" s="27">
        <f t="shared" si="16"/>
        <v>0</v>
      </c>
      <c r="S48" s="27">
        <f t="shared" si="16"/>
        <v>0</v>
      </c>
      <c r="T48" s="27">
        <f t="shared" si="16"/>
        <v>4</v>
      </c>
      <c r="U48" s="27">
        <f t="shared" si="16"/>
        <v>0</v>
      </c>
      <c r="V48" s="27">
        <f t="shared" si="16"/>
        <v>0</v>
      </c>
      <c r="W48" s="27">
        <f t="shared" si="16"/>
        <v>0</v>
      </c>
      <c r="Z48" s="27">
        <f t="shared" si="5"/>
        <v>2</v>
      </c>
      <c r="AA48" s="27">
        <f t="shared" ref="AA48:AS48" si="17">MAX(AA21-Z92,0)</f>
        <v>0</v>
      </c>
      <c r="AB48" s="27">
        <f t="shared" si="17"/>
        <v>0</v>
      </c>
      <c r="AC48" s="27">
        <f t="shared" si="17"/>
        <v>0</v>
      </c>
      <c r="AD48" s="27">
        <f t="shared" si="17"/>
        <v>0</v>
      </c>
      <c r="AE48" s="27">
        <f t="shared" si="17"/>
        <v>0</v>
      </c>
      <c r="AF48" s="27">
        <f t="shared" si="17"/>
        <v>0</v>
      </c>
      <c r="AG48" s="27">
        <f t="shared" si="17"/>
        <v>0</v>
      </c>
      <c r="AH48" s="27">
        <f t="shared" si="17"/>
        <v>2</v>
      </c>
      <c r="AI48" s="27">
        <f t="shared" si="17"/>
        <v>0</v>
      </c>
      <c r="AJ48" s="27">
        <f t="shared" si="17"/>
        <v>0</v>
      </c>
      <c r="AK48" s="27">
        <f t="shared" si="17"/>
        <v>0</v>
      </c>
      <c r="AL48" s="27">
        <f t="shared" si="17"/>
        <v>0</v>
      </c>
      <c r="AM48" s="27">
        <f t="shared" si="17"/>
        <v>0</v>
      </c>
      <c r="AN48" s="27">
        <f t="shared" si="17"/>
        <v>0</v>
      </c>
      <c r="AO48" s="27">
        <f t="shared" si="17"/>
        <v>0</v>
      </c>
      <c r="AP48" s="27">
        <f t="shared" si="17"/>
        <v>2</v>
      </c>
      <c r="AQ48" s="27">
        <f t="shared" si="17"/>
        <v>0</v>
      </c>
      <c r="AR48" s="27">
        <f t="shared" si="17"/>
        <v>0</v>
      </c>
      <c r="AS48" s="27">
        <f t="shared" si="17"/>
        <v>0</v>
      </c>
      <c r="AV48" s="27">
        <f t="shared" si="7"/>
        <v>2</v>
      </c>
      <c r="AW48" s="27">
        <f t="shared" si="2"/>
        <v>0</v>
      </c>
      <c r="AX48" s="27">
        <f t="shared" si="2"/>
        <v>0</v>
      </c>
      <c r="AY48" s="27">
        <f t="shared" si="2"/>
        <v>0</v>
      </c>
      <c r="AZ48" s="27">
        <f t="shared" si="2"/>
        <v>0</v>
      </c>
      <c r="BA48" s="27">
        <f t="shared" si="2"/>
        <v>0</v>
      </c>
      <c r="BB48" s="27">
        <f t="shared" si="2"/>
        <v>0</v>
      </c>
      <c r="BC48" s="27">
        <f t="shared" si="2"/>
        <v>0</v>
      </c>
      <c r="BD48" s="27">
        <f t="shared" si="2"/>
        <v>2</v>
      </c>
      <c r="BE48" s="27">
        <f t="shared" si="2"/>
        <v>0</v>
      </c>
      <c r="BF48" s="27">
        <f t="shared" si="2"/>
        <v>0</v>
      </c>
      <c r="BG48" s="27">
        <f t="shared" si="2"/>
        <v>0</v>
      </c>
      <c r="BH48" s="27">
        <f t="shared" si="2"/>
        <v>0</v>
      </c>
      <c r="BI48" s="27">
        <f t="shared" si="2"/>
        <v>2</v>
      </c>
      <c r="BJ48" s="27">
        <f t="shared" si="2"/>
        <v>0</v>
      </c>
      <c r="BK48" s="27">
        <f t="shared" si="2"/>
        <v>0</v>
      </c>
      <c r="BL48" s="27">
        <f t="shared" si="2"/>
        <v>2</v>
      </c>
      <c r="BM48" s="27">
        <f t="shared" si="2"/>
        <v>0</v>
      </c>
      <c r="BN48" s="27">
        <f t="shared" si="2"/>
        <v>0</v>
      </c>
      <c r="BO48" s="27">
        <f t="shared" si="2"/>
        <v>0</v>
      </c>
    </row>
    <row r="49" spans="1:68" x14ac:dyDescent="0.25">
      <c r="A49" s="7" t="str">
        <v>Interrogating - Call session control function software</v>
      </c>
      <c r="C49" s="10">
        <v>8</v>
      </c>
      <c r="D49" s="27">
        <f t="shared" si="3"/>
        <v>4</v>
      </c>
      <c r="E49" s="27">
        <f t="shared" ref="E49:W49" si="18">MAX(E22-D93,0)</f>
        <v>0</v>
      </c>
      <c r="F49" s="27">
        <f t="shared" si="18"/>
        <v>0</v>
      </c>
      <c r="G49" s="27">
        <f t="shared" si="18"/>
        <v>0</v>
      </c>
      <c r="H49" s="27">
        <f t="shared" si="18"/>
        <v>0</v>
      </c>
      <c r="I49" s="27">
        <f t="shared" si="18"/>
        <v>0</v>
      </c>
      <c r="J49" s="27">
        <f t="shared" si="18"/>
        <v>0</v>
      </c>
      <c r="K49" s="27">
        <f t="shared" si="18"/>
        <v>0</v>
      </c>
      <c r="L49" s="27">
        <f t="shared" si="18"/>
        <v>4</v>
      </c>
      <c r="M49" s="27">
        <f t="shared" si="18"/>
        <v>0</v>
      </c>
      <c r="N49" s="27">
        <f t="shared" si="18"/>
        <v>0</v>
      </c>
      <c r="O49" s="27">
        <f t="shared" si="18"/>
        <v>0</v>
      </c>
      <c r="P49" s="27">
        <f t="shared" si="18"/>
        <v>0</v>
      </c>
      <c r="Q49" s="27">
        <f t="shared" si="18"/>
        <v>0</v>
      </c>
      <c r="R49" s="27">
        <f t="shared" si="18"/>
        <v>0</v>
      </c>
      <c r="S49" s="27">
        <f t="shared" si="18"/>
        <v>0</v>
      </c>
      <c r="T49" s="27">
        <f t="shared" si="18"/>
        <v>4</v>
      </c>
      <c r="U49" s="27">
        <f t="shared" si="18"/>
        <v>0</v>
      </c>
      <c r="V49" s="27">
        <f t="shared" si="18"/>
        <v>0</v>
      </c>
      <c r="W49" s="27">
        <f t="shared" si="18"/>
        <v>0</v>
      </c>
      <c r="Z49" s="27">
        <f t="shared" si="5"/>
        <v>2</v>
      </c>
      <c r="AA49" s="27">
        <f t="shared" ref="AA49:AS49" si="19">MAX(AA22-Z93,0)</f>
        <v>0</v>
      </c>
      <c r="AB49" s="27">
        <f t="shared" si="19"/>
        <v>0</v>
      </c>
      <c r="AC49" s="27">
        <f t="shared" si="19"/>
        <v>0</v>
      </c>
      <c r="AD49" s="27">
        <f t="shared" si="19"/>
        <v>0</v>
      </c>
      <c r="AE49" s="27">
        <f t="shared" si="19"/>
        <v>0</v>
      </c>
      <c r="AF49" s="27">
        <f t="shared" si="19"/>
        <v>0</v>
      </c>
      <c r="AG49" s="27">
        <f t="shared" si="19"/>
        <v>0</v>
      </c>
      <c r="AH49" s="27">
        <f t="shared" si="19"/>
        <v>2</v>
      </c>
      <c r="AI49" s="27">
        <f t="shared" si="19"/>
        <v>0</v>
      </c>
      <c r="AJ49" s="27">
        <f t="shared" si="19"/>
        <v>0</v>
      </c>
      <c r="AK49" s="27">
        <f t="shared" si="19"/>
        <v>0</v>
      </c>
      <c r="AL49" s="27">
        <f t="shared" si="19"/>
        <v>0</v>
      </c>
      <c r="AM49" s="27">
        <f t="shared" si="19"/>
        <v>0</v>
      </c>
      <c r="AN49" s="27">
        <f t="shared" si="19"/>
        <v>0</v>
      </c>
      <c r="AO49" s="27">
        <f t="shared" si="19"/>
        <v>0</v>
      </c>
      <c r="AP49" s="27">
        <f t="shared" si="19"/>
        <v>2</v>
      </c>
      <c r="AQ49" s="27">
        <f t="shared" si="19"/>
        <v>0</v>
      </c>
      <c r="AR49" s="27">
        <f t="shared" si="19"/>
        <v>0</v>
      </c>
      <c r="AS49" s="27">
        <f t="shared" si="19"/>
        <v>0</v>
      </c>
      <c r="AV49" s="27">
        <f t="shared" si="7"/>
        <v>2</v>
      </c>
      <c r="AW49" s="27">
        <f t="shared" si="2"/>
        <v>0</v>
      </c>
      <c r="AX49" s="27">
        <f t="shared" si="2"/>
        <v>0</v>
      </c>
      <c r="AY49" s="27">
        <f t="shared" si="2"/>
        <v>0</v>
      </c>
      <c r="AZ49" s="27">
        <f t="shared" si="2"/>
        <v>0</v>
      </c>
      <c r="BA49" s="27">
        <f t="shared" si="2"/>
        <v>0</v>
      </c>
      <c r="BB49" s="27">
        <f t="shared" si="2"/>
        <v>0</v>
      </c>
      <c r="BC49" s="27">
        <f t="shared" si="2"/>
        <v>0</v>
      </c>
      <c r="BD49" s="27">
        <f t="shared" si="2"/>
        <v>2</v>
      </c>
      <c r="BE49" s="27">
        <f t="shared" si="2"/>
        <v>0</v>
      </c>
      <c r="BF49" s="27">
        <f t="shared" si="2"/>
        <v>0</v>
      </c>
      <c r="BG49" s="27">
        <f t="shared" si="2"/>
        <v>0</v>
      </c>
      <c r="BH49" s="27">
        <f t="shared" si="2"/>
        <v>0</v>
      </c>
      <c r="BI49" s="27">
        <f t="shared" si="2"/>
        <v>0</v>
      </c>
      <c r="BJ49" s="27">
        <f t="shared" si="2"/>
        <v>0</v>
      </c>
      <c r="BK49" s="27">
        <f t="shared" si="2"/>
        <v>0</v>
      </c>
      <c r="BL49" s="27">
        <f t="shared" si="2"/>
        <v>2</v>
      </c>
      <c r="BM49" s="27">
        <f t="shared" si="2"/>
        <v>0</v>
      </c>
      <c r="BN49" s="27">
        <f t="shared" si="2"/>
        <v>0</v>
      </c>
      <c r="BO49" s="27">
        <f t="shared" si="2"/>
        <v>0</v>
      </c>
    </row>
    <row r="50" spans="1:68" x14ac:dyDescent="0.25">
      <c r="A50" s="7" t="str">
        <v>Serving - Call session control function hardware</v>
      </c>
      <c r="C50" s="10">
        <v>8</v>
      </c>
      <c r="D50" s="27">
        <f t="shared" si="3"/>
        <v>4</v>
      </c>
      <c r="E50" s="27">
        <f t="shared" ref="E50:W50" si="20">MAX(E23-D94,0)</f>
        <v>0</v>
      </c>
      <c r="F50" s="27">
        <f t="shared" si="20"/>
        <v>0</v>
      </c>
      <c r="G50" s="27">
        <f t="shared" si="20"/>
        <v>0</v>
      </c>
      <c r="H50" s="27">
        <f t="shared" si="20"/>
        <v>0</v>
      </c>
      <c r="I50" s="27">
        <f t="shared" si="20"/>
        <v>0</v>
      </c>
      <c r="J50" s="27">
        <f t="shared" si="20"/>
        <v>0</v>
      </c>
      <c r="K50" s="27">
        <f t="shared" si="20"/>
        <v>0</v>
      </c>
      <c r="L50" s="27">
        <f t="shared" si="20"/>
        <v>4</v>
      </c>
      <c r="M50" s="27">
        <f t="shared" si="20"/>
        <v>0</v>
      </c>
      <c r="N50" s="27">
        <f t="shared" si="20"/>
        <v>0</v>
      </c>
      <c r="O50" s="27">
        <f t="shared" si="20"/>
        <v>0</v>
      </c>
      <c r="P50" s="27">
        <f t="shared" si="20"/>
        <v>0</v>
      </c>
      <c r="Q50" s="27">
        <f t="shared" si="20"/>
        <v>0</v>
      </c>
      <c r="R50" s="27">
        <f t="shared" si="20"/>
        <v>0</v>
      </c>
      <c r="S50" s="27">
        <f t="shared" si="20"/>
        <v>0</v>
      </c>
      <c r="T50" s="27">
        <f t="shared" si="20"/>
        <v>4</v>
      </c>
      <c r="U50" s="27">
        <f t="shared" si="20"/>
        <v>0</v>
      </c>
      <c r="V50" s="27">
        <f t="shared" si="20"/>
        <v>0</v>
      </c>
      <c r="W50" s="27">
        <f t="shared" si="20"/>
        <v>0</v>
      </c>
      <c r="Z50" s="27">
        <f t="shared" si="5"/>
        <v>2</v>
      </c>
      <c r="AA50" s="27">
        <f t="shared" ref="AA50:AS50" si="21">MAX(AA23-Z94,0)</f>
        <v>0</v>
      </c>
      <c r="AB50" s="27">
        <f t="shared" si="21"/>
        <v>0</v>
      </c>
      <c r="AC50" s="27">
        <f t="shared" si="21"/>
        <v>0</v>
      </c>
      <c r="AD50" s="27">
        <f t="shared" si="21"/>
        <v>0</v>
      </c>
      <c r="AE50" s="27">
        <f t="shared" si="21"/>
        <v>0</v>
      </c>
      <c r="AF50" s="27">
        <f t="shared" si="21"/>
        <v>0</v>
      </c>
      <c r="AG50" s="27">
        <f t="shared" si="21"/>
        <v>0</v>
      </c>
      <c r="AH50" s="27">
        <f t="shared" si="21"/>
        <v>2</v>
      </c>
      <c r="AI50" s="27">
        <f t="shared" si="21"/>
        <v>0</v>
      </c>
      <c r="AJ50" s="27">
        <f t="shared" si="21"/>
        <v>0</v>
      </c>
      <c r="AK50" s="27">
        <f t="shared" si="21"/>
        <v>0</v>
      </c>
      <c r="AL50" s="27">
        <f t="shared" si="21"/>
        <v>0</v>
      </c>
      <c r="AM50" s="27">
        <f t="shared" si="21"/>
        <v>0</v>
      </c>
      <c r="AN50" s="27">
        <f t="shared" si="21"/>
        <v>0</v>
      </c>
      <c r="AO50" s="27">
        <f t="shared" si="21"/>
        <v>0</v>
      </c>
      <c r="AP50" s="27">
        <f t="shared" si="21"/>
        <v>2</v>
      </c>
      <c r="AQ50" s="27">
        <f t="shared" si="21"/>
        <v>0</v>
      </c>
      <c r="AR50" s="27">
        <f t="shared" si="21"/>
        <v>0</v>
      </c>
      <c r="AS50" s="27">
        <f t="shared" si="21"/>
        <v>0</v>
      </c>
      <c r="AV50" s="27">
        <f t="shared" si="7"/>
        <v>2</v>
      </c>
      <c r="AW50" s="27">
        <f t="shared" si="2"/>
        <v>0</v>
      </c>
      <c r="AX50" s="27">
        <f t="shared" si="2"/>
        <v>0</v>
      </c>
      <c r="AY50" s="27">
        <f t="shared" si="2"/>
        <v>0</v>
      </c>
      <c r="AZ50" s="27">
        <f t="shared" si="2"/>
        <v>0</v>
      </c>
      <c r="BA50" s="27">
        <f t="shared" si="2"/>
        <v>0</v>
      </c>
      <c r="BB50" s="27">
        <f t="shared" si="2"/>
        <v>0</v>
      </c>
      <c r="BC50" s="27">
        <f t="shared" si="2"/>
        <v>0</v>
      </c>
      <c r="BD50" s="27">
        <f t="shared" si="2"/>
        <v>2</v>
      </c>
      <c r="BE50" s="27">
        <f t="shared" si="2"/>
        <v>0</v>
      </c>
      <c r="BF50" s="27">
        <f t="shared" si="2"/>
        <v>0</v>
      </c>
      <c r="BG50" s="27">
        <f t="shared" si="2"/>
        <v>0</v>
      </c>
      <c r="BH50" s="27">
        <f t="shared" si="2"/>
        <v>0</v>
      </c>
      <c r="BI50" s="27">
        <f t="shared" si="2"/>
        <v>0</v>
      </c>
      <c r="BJ50" s="27">
        <f t="shared" si="2"/>
        <v>0</v>
      </c>
      <c r="BK50" s="27">
        <f t="shared" si="2"/>
        <v>0</v>
      </c>
      <c r="BL50" s="27">
        <f t="shared" si="2"/>
        <v>2</v>
      </c>
      <c r="BM50" s="27">
        <f t="shared" si="2"/>
        <v>0</v>
      </c>
      <c r="BN50" s="27">
        <f t="shared" si="2"/>
        <v>0</v>
      </c>
      <c r="BO50" s="27">
        <f t="shared" si="2"/>
        <v>0</v>
      </c>
    </row>
    <row r="51" spans="1:68" x14ac:dyDescent="0.25">
      <c r="A51" s="7" t="str">
        <v>Serving - Call session control function software</v>
      </c>
      <c r="C51" s="10">
        <v>8</v>
      </c>
      <c r="D51" s="27">
        <f t="shared" si="3"/>
        <v>4</v>
      </c>
      <c r="E51" s="27">
        <f t="shared" ref="E51:W51" si="22">MAX(E24-D95,0)</f>
        <v>0</v>
      </c>
      <c r="F51" s="27">
        <f t="shared" si="22"/>
        <v>0</v>
      </c>
      <c r="G51" s="27">
        <f t="shared" si="22"/>
        <v>0</v>
      </c>
      <c r="H51" s="27">
        <f t="shared" si="22"/>
        <v>0</v>
      </c>
      <c r="I51" s="27">
        <f t="shared" si="22"/>
        <v>0</v>
      </c>
      <c r="J51" s="27">
        <f t="shared" si="22"/>
        <v>0</v>
      </c>
      <c r="K51" s="27">
        <f t="shared" si="22"/>
        <v>0</v>
      </c>
      <c r="L51" s="27">
        <f t="shared" si="22"/>
        <v>4</v>
      </c>
      <c r="M51" s="27">
        <f t="shared" si="22"/>
        <v>0</v>
      </c>
      <c r="N51" s="27">
        <f t="shared" si="22"/>
        <v>0</v>
      </c>
      <c r="O51" s="27">
        <f t="shared" si="22"/>
        <v>0</v>
      </c>
      <c r="P51" s="27">
        <f t="shared" si="22"/>
        <v>0</v>
      </c>
      <c r="Q51" s="27">
        <f t="shared" si="22"/>
        <v>2</v>
      </c>
      <c r="R51" s="27">
        <f t="shared" si="22"/>
        <v>0</v>
      </c>
      <c r="S51" s="27">
        <f t="shared" si="22"/>
        <v>0</v>
      </c>
      <c r="T51" s="27">
        <f t="shared" si="22"/>
        <v>4</v>
      </c>
      <c r="U51" s="27">
        <f t="shared" si="22"/>
        <v>0</v>
      </c>
      <c r="V51" s="27">
        <f t="shared" si="22"/>
        <v>0</v>
      </c>
      <c r="W51" s="27">
        <f t="shared" si="22"/>
        <v>0</v>
      </c>
      <c r="Z51" s="27">
        <f t="shared" si="5"/>
        <v>2</v>
      </c>
      <c r="AA51" s="27">
        <f t="shared" ref="AA51:AS51" si="23">MAX(AA24-Z95,0)</f>
        <v>0</v>
      </c>
      <c r="AB51" s="27">
        <f t="shared" si="23"/>
        <v>0</v>
      </c>
      <c r="AC51" s="27">
        <f t="shared" si="23"/>
        <v>0</v>
      </c>
      <c r="AD51" s="27">
        <f t="shared" si="23"/>
        <v>0</v>
      </c>
      <c r="AE51" s="27">
        <f t="shared" si="23"/>
        <v>0</v>
      </c>
      <c r="AF51" s="27">
        <f t="shared" si="23"/>
        <v>0</v>
      </c>
      <c r="AG51" s="27">
        <f t="shared" si="23"/>
        <v>0</v>
      </c>
      <c r="AH51" s="27">
        <f t="shared" si="23"/>
        <v>2</v>
      </c>
      <c r="AI51" s="27">
        <f t="shared" si="23"/>
        <v>0</v>
      </c>
      <c r="AJ51" s="27">
        <f t="shared" si="23"/>
        <v>0</v>
      </c>
      <c r="AK51" s="27">
        <f t="shared" si="23"/>
        <v>0</v>
      </c>
      <c r="AL51" s="27">
        <f t="shared" si="23"/>
        <v>0</v>
      </c>
      <c r="AM51" s="27">
        <f t="shared" si="23"/>
        <v>0</v>
      </c>
      <c r="AN51" s="27">
        <f t="shared" si="23"/>
        <v>0</v>
      </c>
      <c r="AO51" s="27">
        <f t="shared" si="23"/>
        <v>0</v>
      </c>
      <c r="AP51" s="27">
        <f t="shared" si="23"/>
        <v>2</v>
      </c>
      <c r="AQ51" s="27">
        <f t="shared" si="23"/>
        <v>0</v>
      </c>
      <c r="AR51" s="27">
        <f t="shared" si="23"/>
        <v>0</v>
      </c>
      <c r="AS51" s="27">
        <f t="shared" si="23"/>
        <v>0</v>
      </c>
      <c r="AV51" s="27">
        <f t="shared" si="7"/>
        <v>2</v>
      </c>
      <c r="AW51" s="27">
        <f t="shared" si="2"/>
        <v>0</v>
      </c>
      <c r="AX51" s="27">
        <f t="shared" si="2"/>
        <v>0</v>
      </c>
      <c r="AY51" s="27">
        <f t="shared" si="2"/>
        <v>0</v>
      </c>
      <c r="AZ51" s="27">
        <f t="shared" si="2"/>
        <v>0</v>
      </c>
      <c r="BA51" s="27">
        <f t="shared" si="2"/>
        <v>0</v>
      </c>
      <c r="BB51" s="27">
        <f t="shared" si="2"/>
        <v>0</v>
      </c>
      <c r="BC51" s="27">
        <f t="shared" si="2"/>
        <v>0</v>
      </c>
      <c r="BD51" s="27">
        <f t="shared" si="2"/>
        <v>2</v>
      </c>
      <c r="BE51" s="27">
        <f t="shared" si="2"/>
        <v>0</v>
      </c>
      <c r="BF51" s="27">
        <f t="shared" si="2"/>
        <v>0</v>
      </c>
      <c r="BG51" s="27">
        <f t="shared" si="2"/>
        <v>0</v>
      </c>
      <c r="BH51" s="27">
        <f t="shared" si="2"/>
        <v>0</v>
      </c>
      <c r="BI51" s="27">
        <f t="shared" si="2"/>
        <v>2</v>
      </c>
      <c r="BJ51" s="27">
        <f t="shared" si="2"/>
        <v>0</v>
      </c>
      <c r="BK51" s="27">
        <f t="shared" si="2"/>
        <v>0</v>
      </c>
      <c r="BL51" s="27">
        <f t="shared" si="2"/>
        <v>2</v>
      </c>
      <c r="BM51" s="27">
        <f t="shared" si="2"/>
        <v>0</v>
      </c>
      <c r="BN51" s="27">
        <f t="shared" si="2"/>
        <v>0</v>
      </c>
      <c r="BO51" s="27">
        <f t="shared" si="2"/>
        <v>0</v>
      </c>
    </row>
    <row r="52" spans="1:68" x14ac:dyDescent="0.25">
      <c r="A52" s="7" t="str">
        <v>Media resource function - hardware</v>
      </c>
      <c r="C52" s="10">
        <v>8</v>
      </c>
      <c r="D52" s="27">
        <f t="shared" si="3"/>
        <v>492</v>
      </c>
      <c r="E52" s="27">
        <f t="shared" ref="E52:W52" si="24">MAX(E25-D96,0)</f>
        <v>10</v>
      </c>
      <c r="F52" s="27">
        <f t="shared" si="24"/>
        <v>22</v>
      </c>
      <c r="G52" s="27">
        <f t="shared" si="24"/>
        <v>0</v>
      </c>
      <c r="H52" s="27">
        <f t="shared" si="24"/>
        <v>0</v>
      </c>
      <c r="I52" s="27">
        <f t="shared" si="24"/>
        <v>0</v>
      </c>
      <c r="J52" s="27">
        <f t="shared" si="24"/>
        <v>0</v>
      </c>
      <c r="K52" s="27">
        <f t="shared" si="24"/>
        <v>0</v>
      </c>
      <c r="L52" s="27">
        <f t="shared" si="24"/>
        <v>490</v>
      </c>
      <c r="M52" s="27">
        <f t="shared" si="24"/>
        <v>12</v>
      </c>
      <c r="N52" s="27">
        <f t="shared" si="24"/>
        <v>24</v>
      </c>
      <c r="O52" s="27">
        <f t="shared" si="24"/>
        <v>2</v>
      </c>
      <c r="P52" s="27">
        <f t="shared" si="24"/>
        <v>4</v>
      </c>
      <c r="Q52" s="27">
        <f t="shared" si="24"/>
        <v>2</v>
      </c>
      <c r="R52" s="27">
        <f t="shared" si="24"/>
        <v>2</v>
      </c>
      <c r="S52" s="27">
        <f t="shared" si="24"/>
        <v>4</v>
      </c>
      <c r="T52" s="27">
        <f t="shared" si="24"/>
        <v>492</v>
      </c>
      <c r="U52" s="27">
        <f t="shared" si="24"/>
        <v>14</v>
      </c>
      <c r="V52" s="27">
        <f t="shared" si="24"/>
        <v>28</v>
      </c>
      <c r="W52" s="27">
        <f t="shared" si="24"/>
        <v>4</v>
      </c>
      <c r="Z52" s="27">
        <f t="shared" si="5"/>
        <v>230</v>
      </c>
      <c r="AA52" s="27">
        <f t="shared" ref="AA52:AS52" si="25">MAX(AA25-Z96,0)</f>
        <v>0</v>
      </c>
      <c r="AB52" s="27">
        <f t="shared" si="25"/>
        <v>0</v>
      </c>
      <c r="AC52" s="27">
        <f t="shared" si="25"/>
        <v>0</v>
      </c>
      <c r="AD52" s="27">
        <f t="shared" si="25"/>
        <v>0</v>
      </c>
      <c r="AE52" s="27">
        <f t="shared" si="25"/>
        <v>0</v>
      </c>
      <c r="AF52" s="27">
        <f t="shared" si="25"/>
        <v>0</v>
      </c>
      <c r="AG52" s="27">
        <f t="shared" si="25"/>
        <v>0</v>
      </c>
      <c r="AH52" s="27">
        <f t="shared" si="25"/>
        <v>200</v>
      </c>
      <c r="AI52" s="27">
        <f t="shared" si="25"/>
        <v>0</v>
      </c>
      <c r="AJ52" s="27">
        <f t="shared" si="25"/>
        <v>2</v>
      </c>
      <c r="AK52" s="27">
        <f t="shared" si="25"/>
        <v>0</v>
      </c>
      <c r="AL52" s="27">
        <f t="shared" si="25"/>
        <v>2</v>
      </c>
      <c r="AM52" s="27">
        <f t="shared" si="25"/>
        <v>0</v>
      </c>
      <c r="AN52" s="27">
        <f t="shared" si="25"/>
        <v>2</v>
      </c>
      <c r="AO52" s="27">
        <f t="shared" si="25"/>
        <v>0</v>
      </c>
      <c r="AP52" s="27">
        <f t="shared" si="25"/>
        <v>202</v>
      </c>
      <c r="AQ52" s="27">
        <f t="shared" si="25"/>
        <v>0</v>
      </c>
      <c r="AR52" s="27">
        <f t="shared" si="25"/>
        <v>4</v>
      </c>
      <c r="AS52" s="27">
        <f t="shared" si="25"/>
        <v>0</v>
      </c>
      <c r="AV52" s="27">
        <f t="shared" si="7"/>
        <v>262</v>
      </c>
      <c r="AW52" s="27">
        <f t="shared" si="2"/>
        <v>10</v>
      </c>
      <c r="AX52" s="27">
        <f t="shared" si="2"/>
        <v>22</v>
      </c>
      <c r="AY52" s="27">
        <f t="shared" si="2"/>
        <v>0</v>
      </c>
      <c r="AZ52" s="27">
        <f t="shared" si="2"/>
        <v>0</v>
      </c>
      <c r="BA52" s="27">
        <f t="shared" si="2"/>
        <v>0</v>
      </c>
      <c r="BB52" s="27">
        <f t="shared" si="2"/>
        <v>0</v>
      </c>
      <c r="BC52" s="27">
        <f t="shared" si="2"/>
        <v>0</v>
      </c>
      <c r="BD52" s="27">
        <f t="shared" si="2"/>
        <v>290</v>
      </c>
      <c r="BE52" s="27">
        <f t="shared" si="2"/>
        <v>12</v>
      </c>
      <c r="BF52" s="27">
        <f t="shared" si="2"/>
        <v>22</v>
      </c>
      <c r="BG52" s="27">
        <f t="shared" si="2"/>
        <v>2</v>
      </c>
      <c r="BH52" s="27">
        <f t="shared" si="2"/>
        <v>2</v>
      </c>
      <c r="BI52" s="27">
        <f t="shared" si="2"/>
        <v>2</v>
      </c>
      <c r="BJ52" s="27">
        <f t="shared" si="2"/>
        <v>0</v>
      </c>
      <c r="BK52" s="27">
        <f t="shared" si="2"/>
        <v>4</v>
      </c>
      <c r="BL52" s="27">
        <f t="shared" si="2"/>
        <v>290</v>
      </c>
      <c r="BM52" s="27">
        <f t="shared" si="2"/>
        <v>14</v>
      </c>
      <c r="BN52" s="27">
        <f t="shared" si="2"/>
        <v>24</v>
      </c>
      <c r="BO52" s="27">
        <f t="shared" si="2"/>
        <v>4</v>
      </c>
    </row>
    <row r="53" spans="1:68" x14ac:dyDescent="0.25">
      <c r="A53" s="7" t="str">
        <v>Media resource function - software</v>
      </c>
      <c r="C53" s="10">
        <v>8</v>
      </c>
      <c r="D53" s="27">
        <f t="shared" si="3"/>
        <v>564</v>
      </c>
      <c r="E53" s="27">
        <f t="shared" ref="E53:W53" si="26">MAX(E26-D97,0)</f>
        <v>8</v>
      </c>
      <c r="F53" s="27">
        <f t="shared" si="26"/>
        <v>28</v>
      </c>
      <c r="G53" s="27">
        <f t="shared" si="26"/>
        <v>0</v>
      </c>
      <c r="H53" s="27">
        <f t="shared" si="26"/>
        <v>0</v>
      </c>
      <c r="I53" s="27">
        <f t="shared" si="26"/>
        <v>0</v>
      </c>
      <c r="J53" s="27">
        <f t="shared" si="26"/>
        <v>0</v>
      </c>
      <c r="K53" s="27">
        <f t="shared" si="26"/>
        <v>0</v>
      </c>
      <c r="L53" s="27">
        <f t="shared" si="26"/>
        <v>560</v>
      </c>
      <c r="M53" s="27">
        <f t="shared" si="26"/>
        <v>10</v>
      </c>
      <c r="N53" s="27">
        <f t="shared" si="26"/>
        <v>32</v>
      </c>
      <c r="O53" s="27">
        <f t="shared" si="26"/>
        <v>2</v>
      </c>
      <c r="P53" s="27">
        <f t="shared" si="26"/>
        <v>4</v>
      </c>
      <c r="Q53" s="27">
        <f t="shared" si="26"/>
        <v>2</v>
      </c>
      <c r="R53" s="27">
        <f t="shared" si="26"/>
        <v>4</v>
      </c>
      <c r="S53" s="27">
        <f t="shared" si="26"/>
        <v>2</v>
      </c>
      <c r="T53" s="27">
        <f t="shared" si="26"/>
        <v>564</v>
      </c>
      <c r="U53" s="27">
        <f t="shared" si="26"/>
        <v>12</v>
      </c>
      <c r="V53" s="27">
        <f t="shared" si="26"/>
        <v>36</v>
      </c>
      <c r="W53" s="27">
        <f t="shared" si="26"/>
        <v>4</v>
      </c>
      <c r="Z53" s="27">
        <f t="shared" si="5"/>
        <v>262</v>
      </c>
      <c r="AA53" s="27">
        <f t="shared" ref="AA53:AS53" si="27">MAX(AA26-Z97,0)</f>
        <v>0</v>
      </c>
      <c r="AB53" s="27">
        <f t="shared" si="27"/>
        <v>0</v>
      </c>
      <c r="AC53" s="27">
        <f t="shared" si="27"/>
        <v>0</v>
      </c>
      <c r="AD53" s="27">
        <f t="shared" si="27"/>
        <v>0</v>
      </c>
      <c r="AE53" s="27">
        <f t="shared" si="27"/>
        <v>0</v>
      </c>
      <c r="AF53" s="27">
        <f t="shared" si="27"/>
        <v>0</v>
      </c>
      <c r="AG53" s="27">
        <f t="shared" si="27"/>
        <v>0</v>
      </c>
      <c r="AH53" s="27">
        <f t="shared" si="27"/>
        <v>228</v>
      </c>
      <c r="AI53" s="27">
        <f t="shared" si="27"/>
        <v>2</v>
      </c>
      <c r="AJ53" s="27">
        <f t="shared" si="27"/>
        <v>0</v>
      </c>
      <c r="AK53" s="27">
        <f t="shared" si="27"/>
        <v>2</v>
      </c>
      <c r="AL53" s="27">
        <f t="shared" si="27"/>
        <v>0</v>
      </c>
      <c r="AM53" s="27">
        <f t="shared" si="27"/>
        <v>2</v>
      </c>
      <c r="AN53" s="27">
        <f t="shared" si="27"/>
        <v>2</v>
      </c>
      <c r="AO53" s="27">
        <f t="shared" si="27"/>
        <v>0</v>
      </c>
      <c r="AP53" s="27">
        <f t="shared" si="27"/>
        <v>230</v>
      </c>
      <c r="AQ53" s="27">
        <f t="shared" si="27"/>
        <v>2</v>
      </c>
      <c r="AR53" s="27">
        <f t="shared" si="27"/>
        <v>2</v>
      </c>
      <c r="AS53" s="27">
        <f t="shared" si="27"/>
        <v>2</v>
      </c>
      <c r="AV53" s="27">
        <f t="shared" si="7"/>
        <v>302</v>
      </c>
      <c r="AW53" s="27">
        <f t="shared" si="2"/>
        <v>8</v>
      </c>
      <c r="AX53" s="27">
        <f t="shared" si="2"/>
        <v>28</v>
      </c>
      <c r="AY53" s="27">
        <f t="shared" si="2"/>
        <v>0</v>
      </c>
      <c r="AZ53" s="27">
        <f t="shared" si="2"/>
        <v>0</v>
      </c>
      <c r="BA53" s="27">
        <f t="shared" si="2"/>
        <v>0</v>
      </c>
      <c r="BB53" s="27">
        <f t="shared" si="2"/>
        <v>0</v>
      </c>
      <c r="BC53" s="27">
        <f t="shared" si="2"/>
        <v>0</v>
      </c>
      <c r="BD53" s="27">
        <f t="shared" si="2"/>
        <v>332</v>
      </c>
      <c r="BE53" s="27">
        <f t="shared" si="2"/>
        <v>8</v>
      </c>
      <c r="BF53" s="27">
        <f t="shared" si="2"/>
        <v>32</v>
      </c>
      <c r="BG53" s="27">
        <f t="shared" si="2"/>
        <v>0</v>
      </c>
      <c r="BH53" s="27">
        <f t="shared" si="2"/>
        <v>4</v>
      </c>
      <c r="BI53" s="27">
        <f t="shared" si="2"/>
        <v>0</v>
      </c>
      <c r="BJ53" s="27">
        <f t="shared" si="2"/>
        <v>2</v>
      </c>
      <c r="BK53" s="27">
        <f t="shared" si="2"/>
        <v>2</v>
      </c>
      <c r="BL53" s="27">
        <f t="shared" si="2"/>
        <v>334</v>
      </c>
      <c r="BM53" s="27">
        <f t="shared" si="2"/>
        <v>10</v>
      </c>
      <c r="BN53" s="27">
        <f t="shared" si="2"/>
        <v>34</v>
      </c>
      <c r="BO53" s="27">
        <f t="shared" si="2"/>
        <v>2</v>
      </c>
    </row>
    <row r="54" spans="1:68" x14ac:dyDescent="0.25">
      <c r="A54" s="7" t="str">
        <v>Access session border controller - hardware</v>
      </c>
      <c r="C54" s="10">
        <v>8</v>
      </c>
      <c r="D54" s="27">
        <f t="shared" si="3"/>
        <v>50</v>
      </c>
      <c r="E54" s="27">
        <f t="shared" ref="E54:W54" si="28">MAX(E27-D98,0)</f>
        <v>2</v>
      </c>
      <c r="F54" s="27">
        <f t="shared" si="28"/>
        <v>2</v>
      </c>
      <c r="G54" s="27">
        <f t="shared" si="28"/>
        <v>0</v>
      </c>
      <c r="H54" s="27">
        <f t="shared" si="28"/>
        <v>0</v>
      </c>
      <c r="I54" s="27">
        <f t="shared" si="28"/>
        <v>0</v>
      </c>
      <c r="J54" s="27">
        <f t="shared" si="28"/>
        <v>0</v>
      </c>
      <c r="K54" s="27">
        <f t="shared" si="28"/>
        <v>0</v>
      </c>
      <c r="L54" s="27">
        <f t="shared" si="28"/>
        <v>50</v>
      </c>
      <c r="M54" s="27">
        <f t="shared" si="28"/>
        <v>2</v>
      </c>
      <c r="N54" s="27">
        <f t="shared" si="28"/>
        <v>2</v>
      </c>
      <c r="O54" s="27">
        <f t="shared" si="28"/>
        <v>0</v>
      </c>
      <c r="P54" s="27">
        <f t="shared" si="28"/>
        <v>0</v>
      </c>
      <c r="Q54" s="27">
        <f t="shared" si="28"/>
        <v>0</v>
      </c>
      <c r="R54" s="27">
        <f t="shared" si="28"/>
        <v>0</v>
      </c>
      <c r="S54" s="27">
        <f t="shared" si="28"/>
        <v>0</v>
      </c>
      <c r="T54" s="27">
        <f t="shared" si="28"/>
        <v>52</v>
      </c>
      <c r="U54" s="27">
        <f t="shared" si="28"/>
        <v>2</v>
      </c>
      <c r="V54" s="27">
        <f t="shared" si="28"/>
        <v>2</v>
      </c>
      <c r="W54" s="27">
        <f t="shared" si="28"/>
        <v>0</v>
      </c>
      <c r="Z54" s="27">
        <f t="shared" si="5"/>
        <v>24</v>
      </c>
      <c r="AA54" s="27">
        <f t="shared" ref="AA54:AS54" si="29">MAX(AA27-Z98,0)</f>
        <v>0</v>
      </c>
      <c r="AB54" s="27">
        <f t="shared" si="29"/>
        <v>0</v>
      </c>
      <c r="AC54" s="27">
        <f t="shared" si="29"/>
        <v>0</v>
      </c>
      <c r="AD54" s="27">
        <f t="shared" si="29"/>
        <v>0</v>
      </c>
      <c r="AE54" s="27">
        <f t="shared" si="29"/>
        <v>0</v>
      </c>
      <c r="AF54" s="27">
        <f t="shared" si="29"/>
        <v>0</v>
      </c>
      <c r="AG54" s="27">
        <f t="shared" si="29"/>
        <v>0</v>
      </c>
      <c r="AH54" s="27">
        <f t="shared" si="29"/>
        <v>20</v>
      </c>
      <c r="AI54" s="27">
        <f t="shared" si="29"/>
        <v>0</v>
      </c>
      <c r="AJ54" s="27">
        <f t="shared" si="29"/>
        <v>2</v>
      </c>
      <c r="AK54" s="27">
        <f t="shared" si="29"/>
        <v>0</v>
      </c>
      <c r="AL54" s="27">
        <f t="shared" si="29"/>
        <v>0</v>
      </c>
      <c r="AM54" s="27">
        <f t="shared" si="29"/>
        <v>0</v>
      </c>
      <c r="AN54" s="27">
        <f t="shared" si="29"/>
        <v>0</v>
      </c>
      <c r="AO54" s="27">
        <f t="shared" si="29"/>
        <v>0</v>
      </c>
      <c r="AP54" s="27">
        <f t="shared" si="29"/>
        <v>20</v>
      </c>
      <c r="AQ54" s="27">
        <f t="shared" si="29"/>
        <v>0</v>
      </c>
      <c r="AR54" s="27">
        <f t="shared" si="29"/>
        <v>2</v>
      </c>
      <c r="AS54" s="27">
        <f t="shared" si="29"/>
        <v>0</v>
      </c>
      <c r="AV54" s="27">
        <f t="shared" si="7"/>
        <v>26</v>
      </c>
      <c r="AW54" s="27">
        <f t="shared" si="2"/>
        <v>2</v>
      </c>
      <c r="AX54" s="27">
        <f t="shared" si="2"/>
        <v>2</v>
      </c>
      <c r="AY54" s="27">
        <f t="shared" si="2"/>
        <v>0</v>
      </c>
      <c r="AZ54" s="27">
        <f t="shared" si="2"/>
        <v>0</v>
      </c>
      <c r="BA54" s="27">
        <f t="shared" si="2"/>
        <v>0</v>
      </c>
      <c r="BB54" s="27">
        <f t="shared" si="2"/>
        <v>0</v>
      </c>
      <c r="BC54" s="27">
        <f t="shared" si="2"/>
        <v>0</v>
      </c>
      <c r="BD54" s="27">
        <f t="shared" si="2"/>
        <v>30</v>
      </c>
      <c r="BE54" s="27">
        <f t="shared" si="2"/>
        <v>2</v>
      </c>
      <c r="BF54" s="27">
        <f t="shared" si="2"/>
        <v>0</v>
      </c>
      <c r="BG54" s="27">
        <f t="shared" si="2"/>
        <v>0</v>
      </c>
      <c r="BH54" s="27">
        <f t="shared" si="2"/>
        <v>0</v>
      </c>
      <c r="BI54" s="27">
        <f t="shared" si="2"/>
        <v>0</v>
      </c>
      <c r="BJ54" s="27">
        <f t="shared" si="2"/>
        <v>0</v>
      </c>
      <c r="BK54" s="27">
        <f t="shared" si="2"/>
        <v>0</v>
      </c>
      <c r="BL54" s="27">
        <f t="shared" si="2"/>
        <v>32</v>
      </c>
      <c r="BM54" s="27">
        <f t="shared" si="2"/>
        <v>2</v>
      </c>
      <c r="BN54" s="27">
        <f t="shared" si="2"/>
        <v>0</v>
      </c>
      <c r="BO54" s="27">
        <f t="shared" si="2"/>
        <v>0</v>
      </c>
    </row>
    <row r="55" spans="1:68" x14ac:dyDescent="0.25">
      <c r="A55" s="7" t="str">
        <v>Access session border controller - software</v>
      </c>
      <c r="C55" s="10">
        <v>8</v>
      </c>
      <c r="D55" s="27">
        <f t="shared" si="3"/>
        <v>492</v>
      </c>
      <c r="E55" s="27">
        <f t="shared" ref="E55:W55" si="30">MAX(E28-D99,0)</f>
        <v>10</v>
      </c>
      <c r="F55" s="27">
        <f t="shared" si="30"/>
        <v>22</v>
      </c>
      <c r="G55" s="27">
        <f t="shared" si="30"/>
        <v>0</v>
      </c>
      <c r="H55" s="27">
        <f t="shared" si="30"/>
        <v>0</v>
      </c>
      <c r="I55" s="27">
        <f t="shared" si="30"/>
        <v>0</v>
      </c>
      <c r="J55" s="27">
        <f t="shared" si="30"/>
        <v>0</v>
      </c>
      <c r="K55" s="27">
        <f t="shared" si="30"/>
        <v>0</v>
      </c>
      <c r="L55" s="27">
        <f t="shared" si="30"/>
        <v>490</v>
      </c>
      <c r="M55" s="27">
        <f t="shared" si="30"/>
        <v>12</v>
      </c>
      <c r="N55" s="27">
        <f t="shared" si="30"/>
        <v>24</v>
      </c>
      <c r="O55" s="27">
        <f t="shared" si="30"/>
        <v>2</v>
      </c>
      <c r="P55" s="27">
        <f t="shared" si="30"/>
        <v>4</v>
      </c>
      <c r="Q55" s="27">
        <f t="shared" si="30"/>
        <v>2</v>
      </c>
      <c r="R55" s="27">
        <f t="shared" si="30"/>
        <v>2</v>
      </c>
      <c r="S55" s="27">
        <f t="shared" si="30"/>
        <v>4</v>
      </c>
      <c r="T55" s="27">
        <f t="shared" si="30"/>
        <v>492</v>
      </c>
      <c r="U55" s="27">
        <f t="shared" si="30"/>
        <v>14</v>
      </c>
      <c r="V55" s="27">
        <f t="shared" si="30"/>
        <v>28</v>
      </c>
      <c r="W55" s="27">
        <f t="shared" si="30"/>
        <v>4</v>
      </c>
      <c r="Z55" s="27">
        <f t="shared" si="5"/>
        <v>230</v>
      </c>
      <c r="AA55" s="27">
        <f t="shared" ref="AA55:AS55" si="31">MAX(AA28-Z99,0)</f>
        <v>0</v>
      </c>
      <c r="AB55" s="27">
        <f t="shared" si="31"/>
        <v>0</v>
      </c>
      <c r="AC55" s="27">
        <f t="shared" si="31"/>
        <v>0</v>
      </c>
      <c r="AD55" s="27">
        <f t="shared" si="31"/>
        <v>0</v>
      </c>
      <c r="AE55" s="27">
        <f t="shared" si="31"/>
        <v>0</v>
      </c>
      <c r="AF55" s="27">
        <f t="shared" si="31"/>
        <v>0</v>
      </c>
      <c r="AG55" s="27">
        <f t="shared" si="31"/>
        <v>0</v>
      </c>
      <c r="AH55" s="27">
        <f t="shared" si="31"/>
        <v>200</v>
      </c>
      <c r="AI55" s="27">
        <f t="shared" si="31"/>
        <v>0</v>
      </c>
      <c r="AJ55" s="27">
        <f t="shared" si="31"/>
        <v>2</v>
      </c>
      <c r="AK55" s="27">
        <f t="shared" si="31"/>
        <v>0</v>
      </c>
      <c r="AL55" s="27">
        <f t="shared" si="31"/>
        <v>2</v>
      </c>
      <c r="AM55" s="27">
        <f t="shared" si="31"/>
        <v>0</v>
      </c>
      <c r="AN55" s="27">
        <f t="shared" si="31"/>
        <v>2</v>
      </c>
      <c r="AO55" s="27">
        <f t="shared" si="31"/>
        <v>0</v>
      </c>
      <c r="AP55" s="27">
        <f t="shared" si="31"/>
        <v>202</v>
      </c>
      <c r="AQ55" s="27">
        <f t="shared" si="31"/>
        <v>0</v>
      </c>
      <c r="AR55" s="27">
        <f t="shared" si="31"/>
        <v>4</v>
      </c>
      <c r="AS55" s="27">
        <f t="shared" si="31"/>
        <v>0</v>
      </c>
      <c r="AV55" s="27">
        <f t="shared" si="7"/>
        <v>262</v>
      </c>
      <c r="AW55" s="27">
        <f t="shared" si="2"/>
        <v>10</v>
      </c>
      <c r="AX55" s="27">
        <f t="shared" si="2"/>
        <v>22</v>
      </c>
      <c r="AY55" s="27">
        <f t="shared" si="2"/>
        <v>0</v>
      </c>
      <c r="AZ55" s="27">
        <f t="shared" si="2"/>
        <v>0</v>
      </c>
      <c r="BA55" s="27">
        <f t="shared" si="2"/>
        <v>0</v>
      </c>
      <c r="BB55" s="27">
        <f t="shared" si="2"/>
        <v>0</v>
      </c>
      <c r="BC55" s="27">
        <f t="shared" si="2"/>
        <v>0</v>
      </c>
      <c r="BD55" s="27">
        <f t="shared" si="2"/>
        <v>290</v>
      </c>
      <c r="BE55" s="27">
        <f t="shared" ref="BE55:BE57" si="32">M55-AI55</f>
        <v>12</v>
      </c>
      <c r="BF55" s="27">
        <f t="shared" ref="BF55:BF57" si="33">N55-AJ55</f>
        <v>22</v>
      </c>
      <c r="BG55" s="27">
        <f t="shared" ref="BG55:BG57" si="34">O55-AK55</f>
        <v>2</v>
      </c>
      <c r="BH55" s="27">
        <f t="shared" ref="BH55:BH57" si="35">P55-AL55</f>
        <v>2</v>
      </c>
      <c r="BI55" s="27">
        <f t="shared" ref="BI55:BI57" si="36">Q55-AM55</f>
        <v>2</v>
      </c>
      <c r="BJ55" s="27">
        <f t="shared" ref="BJ55:BJ57" si="37">R55-AN55</f>
        <v>0</v>
      </c>
      <c r="BK55" s="27">
        <f t="shared" ref="BK55:BK57" si="38">S55-AO55</f>
        <v>4</v>
      </c>
      <c r="BL55" s="27">
        <f t="shared" ref="BL55:BL57" si="39">T55-AP55</f>
        <v>290</v>
      </c>
      <c r="BM55" s="27">
        <f t="shared" ref="BM55:BM57" si="40">U55-AQ55</f>
        <v>14</v>
      </c>
      <c r="BN55" s="27">
        <f t="shared" ref="BN55:BN57" si="41">V55-AR55</f>
        <v>24</v>
      </c>
      <c r="BO55" s="27">
        <f t="shared" ref="BO55:BO57" si="42">W55-AS55</f>
        <v>4</v>
      </c>
    </row>
    <row r="56" spans="1:68" x14ac:dyDescent="0.25">
      <c r="A56" s="7" t="str">
        <v>Internet exchange point session border controller - hardware</v>
      </c>
      <c r="C56" s="10">
        <v>8</v>
      </c>
      <c r="D56" s="27">
        <f t="shared" si="3"/>
        <v>42</v>
      </c>
      <c r="E56" s="27">
        <f t="shared" ref="E56:W56" si="43">MAX(E29-D100,0)</f>
        <v>0</v>
      </c>
      <c r="F56" s="27">
        <f t="shared" si="43"/>
        <v>4</v>
      </c>
      <c r="G56" s="27">
        <f t="shared" si="43"/>
        <v>0</v>
      </c>
      <c r="H56" s="27">
        <f t="shared" si="43"/>
        <v>0</v>
      </c>
      <c r="I56" s="27">
        <f t="shared" si="43"/>
        <v>0</v>
      </c>
      <c r="J56" s="27">
        <f t="shared" si="43"/>
        <v>0</v>
      </c>
      <c r="K56" s="27">
        <f t="shared" si="43"/>
        <v>0</v>
      </c>
      <c r="L56" s="27">
        <f t="shared" si="43"/>
        <v>42</v>
      </c>
      <c r="M56" s="27">
        <f t="shared" si="43"/>
        <v>0</v>
      </c>
      <c r="N56" s="27">
        <f t="shared" si="43"/>
        <v>4</v>
      </c>
      <c r="O56" s="27">
        <f t="shared" si="43"/>
        <v>0</v>
      </c>
      <c r="P56" s="27">
        <f t="shared" si="43"/>
        <v>0</v>
      </c>
      <c r="Q56" s="27">
        <f t="shared" si="43"/>
        <v>0</v>
      </c>
      <c r="R56" s="27">
        <f t="shared" si="43"/>
        <v>2</v>
      </c>
      <c r="S56" s="27">
        <f t="shared" si="43"/>
        <v>0</v>
      </c>
      <c r="T56" s="27">
        <f t="shared" si="43"/>
        <v>42</v>
      </c>
      <c r="U56" s="27">
        <f t="shared" si="43"/>
        <v>0</v>
      </c>
      <c r="V56" s="27">
        <f t="shared" si="43"/>
        <v>4</v>
      </c>
      <c r="W56" s="27">
        <f t="shared" si="43"/>
        <v>0</v>
      </c>
      <c r="Z56" s="27">
        <f t="shared" si="5"/>
        <v>16</v>
      </c>
      <c r="AA56" s="27">
        <f t="shared" ref="AA56:AS56" si="44">MAX(AA29-Z100,0)</f>
        <v>0</v>
      </c>
      <c r="AB56" s="27">
        <f t="shared" si="44"/>
        <v>0</v>
      </c>
      <c r="AC56" s="27">
        <f t="shared" si="44"/>
        <v>0</v>
      </c>
      <c r="AD56" s="27">
        <f t="shared" si="44"/>
        <v>0</v>
      </c>
      <c r="AE56" s="27">
        <f t="shared" si="44"/>
        <v>0</v>
      </c>
      <c r="AF56" s="27">
        <f t="shared" si="44"/>
        <v>0</v>
      </c>
      <c r="AG56" s="27">
        <f t="shared" si="44"/>
        <v>0</v>
      </c>
      <c r="AH56" s="27">
        <f t="shared" si="44"/>
        <v>14</v>
      </c>
      <c r="AI56" s="27">
        <f t="shared" si="44"/>
        <v>0</v>
      </c>
      <c r="AJ56" s="27">
        <f t="shared" si="44"/>
        <v>0</v>
      </c>
      <c r="AK56" s="27">
        <f t="shared" si="44"/>
        <v>0</v>
      </c>
      <c r="AL56" s="27">
        <f t="shared" si="44"/>
        <v>0</v>
      </c>
      <c r="AM56" s="27">
        <f t="shared" si="44"/>
        <v>0</v>
      </c>
      <c r="AN56" s="27">
        <f t="shared" si="44"/>
        <v>0</v>
      </c>
      <c r="AO56" s="27">
        <f t="shared" si="44"/>
        <v>0</v>
      </c>
      <c r="AP56" s="27">
        <f t="shared" si="44"/>
        <v>14</v>
      </c>
      <c r="AQ56" s="27">
        <f t="shared" si="44"/>
        <v>0</v>
      </c>
      <c r="AR56" s="27">
        <f t="shared" si="44"/>
        <v>0</v>
      </c>
      <c r="AS56" s="27">
        <f t="shared" si="44"/>
        <v>0</v>
      </c>
      <c r="AV56" s="27">
        <f t="shared" si="7"/>
        <v>26</v>
      </c>
      <c r="AW56" s="27">
        <f t="shared" ref="AW56:AW57" si="45">E56-AA56</f>
        <v>0</v>
      </c>
      <c r="AX56" s="27">
        <f t="shared" ref="AX56:AX57" si="46">F56-AB56</f>
        <v>4</v>
      </c>
      <c r="AY56" s="27">
        <f t="shared" ref="AY56:AY57" si="47">G56-AC56</f>
        <v>0</v>
      </c>
      <c r="AZ56" s="27">
        <f t="shared" ref="AZ56:AZ57" si="48">H56-AD56</f>
        <v>0</v>
      </c>
      <c r="BA56" s="27">
        <f t="shared" ref="BA56:BA57" si="49">I56-AE56</f>
        <v>0</v>
      </c>
      <c r="BB56" s="27">
        <f t="shared" ref="BB56:BB57" si="50">J56-AF56</f>
        <v>0</v>
      </c>
      <c r="BC56" s="27">
        <f t="shared" ref="BC56:BC57" si="51">K56-AG56</f>
        <v>0</v>
      </c>
      <c r="BD56" s="27">
        <f t="shared" ref="BD56:BD57" si="52">L56-AH56</f>
        <v>28</v>
      </c>
      <c r="BE56" s="27">
        <f t="shared" si="32"/>
        <v>0</v>
      </c>
      <c r="BF56" s="27">
        <f t="shared" si="33"/>
        <v>4</v>
      </c>
      <c r="BG56" s="27">
        <f t="shared" si="34"/>
        <v>0</v>
      </c>
      <c r="BH56" s="27">
        <f t="shared" si="35"/>
        <v>0</v>
      </c>
      <c r="BI56" s="27">
        <f t="shared" si="36"/>
        <v>0</v>
      </c>
      <c r="BJ56" s="27">
        <f t="shared" si="37"/>
        <v>2</v>
      </c>
      <c r="BK56" s="27">
        <f t="shared" si="38"/>
        <v>0</v>
      </c>
      <c r="BL56" s="27">
        <f t="shared" si="39"/>
        <v>28</v>
      </c>
      <c r="BM56" s="27">
        <f t="shared" si="40"/>
        <v>0</v>
      </c>
      <c r="BN56" s="27">
        <f t="shared" si="41"/>
        <v>4</v>
      </c>
      <c r="BO56" s="27">
        <f t="shared" si="42"/>
        <v>0</v>
      </c>
    </row>
    <row r="57" spans="1:68" x14ac:dyDescent="0.25">
      <c r="A57" s="7" t="str">
        <v>Internet exchange point session border controller - software</v>
      </c>
      <c r="C57" s="10">
        <v>8</v>
      </c>
      <c r="D57" s="27">
        <f>D30</f>
        <v>84</v>
      </c>
      <c r="E57" s="27">
        <f>MAX(E30-D101,0)</f>
        <v>0</v>
      </c>
      <c r="F57" s="27">
        <f>MAX(F30-E101,0)</f>
        <v>6</v>
      </c>
      <c r="G57" s="27">
        <f>MAX(G30-F101,0)</f>
        <v>0</v>
      </c>
      <c r="H57" s="27">
        <f t="shared" ref="H57:W57" si="53">MAX(H30-G101,0)</f>
        <v>0</v>
      </c>
      <c r="I57" s="27">
        <f t="shared" si="53"/>
        <v>0</v>
      </c>
      <c r="J57" s="27">
        <f t="shared" si="53"/>
        <v>0</v>
      </c>
      <c r="K57" s="27">
        <f t="shared" si="53"/>
        <v>0</v>
      </c>
      <c r="L57" s="27">
        <f t="shared" si="53"/>
        <v>84</v>
      </c>
      <c r="M57" s="27">
        <f>MAX(M30-L101,0)</f>
        <v>0</v>
      </c>
      <c r="N57" s="27">
        <f t="shared" si="53"/>
        <v>8</v>
      </c>
      <c r="O57" s="27">
        <f t="shared" si="53"/>
        <v>0</v>
      </c>
      <c r="P57" s="27">
        <f t="shared" si="53"/>
        <v>0</v>
      </c>
      <c r="Q57" s="27">
        <f t="shared" si="53"/>
        <v>0</v>
      </c>
      <c r="R57" s="27">
        <f t="shared" si="53"/>
        <v>2</v>
      </c>
      <c r="S57" s="27">
        <f t="shared" si="53"/>
        <v>0</v>
      </c>
      <c r="T57" s="27">
        <f t="shared" si="53"/>
        <v>84</v>
      </c>
      <c r="U57" s="27">
        <f t="shared" si="53"/>
        <v>0</v>
      </c>
      <c r="V57" s="27">
        <f t="shared" si="53"/>
        <v>8</v>
      </c>
      <c r="W57" s="27">
        <f t="shared" si="53"/>
        <v>2</v>
      </c>
      <c r="X57" s="16" t="s">
        <v>380</v>
      </c>
      <c r="Z57" s="27">
        <f t="shared" si="5"/>
        <v>30</v>
      </c>
      <c r="AA57" s="27">
        <f t="shared" ref="AA57:AS57" si="54">MAX(AA30-Z101,0)</f>
        <v>0</v>
      </c>
      <c r="AB57" s="27">
        <f t="shared" si="54"/>
        <v>0</v>
      </c>
      <c r="AC57" s="27">
        <f t="shared" si="54"/>
        <v>0</v>
      </c>
      <c r="AD57" s="27">
        <f t="shared" si="54"/>
        <v>0</v>
      </c>
      <c r="AE57" s="27">
        <f t="shared" si="54"/>
        <v>0</v>
      </c>
      <c r="AF57" s="27">
        <f t="shared" si="54"/>
        <v>0</v>
      </c>
      <c r="AG57" s="27">
        <f t="shared" si="54"/>
        <v>0</v>
      </c>
      <c r="AH57" s="27">
        <f t="shared" si="54"/>
        <v>26</v>
      </c>
      <c r="AI57" s="27">
        <f t="shared" si="54"/>
        <v>0</v>
      </c>
      <c r="AJ57" s="27">
        <f t="shared" si="54"/>
        <v>0</v>
      </c>
      <c r="AK57" s="27">
        <f t="shared" si="54"/>
        <v>0</v>
      </c>
      <c r="AL57" s="27">
        <f t="shared" si="54"/>
        <v>0</v>
      </c>
      <c r="AM57" s="27">
        <f t="shared" si="54"/>
        <v>0</v>
      </c>
      <c r="AN57" s="27">
        <f t="shared" si="54"/>
        <v>0</v>
      </c>
      <c r="AO57" s="27">
        <f t="shared" si="54"/>
        <v>0</v>
      </c>
      <c r="AP57" s="27">
        <f t="shared" si="54"/>
        <v>28</v>
      </c>
      <c r="AQ57" s="27">
        <f t="shared" si="54"/>
        <v>0</v>
      </c>
      <c r="AR57" s="27">
        <f t="shared" si="54"/>
        <v>0</v>
      </c>
      <c r="AS57" s="27">
        <f t="shared" si="54"/>
        <v>0</v>
      </c>
      <c r="AT57" s="16" t="s">
        <v>379</v>
      </c>
      <c r="AV57" s="27">
        <f t="shared" si="7"/>
        <v>54</v>
      </c>
      <c r="AW57" s="27">
        <f t="shared" si="45"/>
        <v>0</v>
      </c>
      <c r="AX57" s="27">
        <f t="shared" si="46"/>
        <v>6</v>
      </c>
      <c r="AY57" s="27">
        <f t="shared" si="47"/>
        <v>0</v>
      </c>
      <c r="AZ57" s="27">
        <f t="shared" si="48"/>
        <v>0</v>
      </c>
      <c r="BA57" s="27">
        <f t="shared" si="49"/>
        <v>0</v>
      </c>
      <c r="BB57" s="27">
        <f t="shared" si="50"/>
        <v>0</v>
      </c>
      <c r="BC57" s="27">
        <f t="shared" si="51"/>
        <v>0</v>
      </c>
      <c r="BD57" s="27">
        <f t="shared" si="52"/>
        <v>58</v>
      </c>
      <c r="BE57" s="27">
        <f t="shared" si="32"/>
        <v>0</v>
      </c>
      <c r="BF57" s="27">
        <f t="shared" si="33"/>
        <v>8</v>
      </c>
      <c r="BG57" s="27">
        <f t="shared" si="34"/>
        <v>0</v>
      </c>
      <c r="BH57" s="27">
        <f t="shared" si="35"/>
        <v>0</v>
      </c>
      <c r="BI57" s="27">
        <f t="shared" si="36"/>
        <v>0</v>
      </c>
      <c r="BJ57" s="27">
        <f t="shared" si="37"/>
        <v>2</v>
      </c>
      <c r="BK57" s="27">
        <f t="shared" si="38"/>
        <v>0</v>
      </c>
      <c r="BL57" s="27">
        <f t="shared" si="39"/>
        <v>56</v>
      </c>
      <c r="BM57" s="27">
        <f t="shared" si="40"/>
        <v>0</v>
      </c>
      <c r="BN57" s="27">
        <f t="shared" si="41"/>
        <v>8</v>
      </c>
      <c r="BO57" s="27">
        <f t="shared" si="42"/>
        <v>2</v>
      </c>
      <c r="BP57" s="16" t="s">
        <v>386</v>
      </c>
    </row>
    <row r="59" spans="1:68" x14ac:dyDescent="0.25">
      <c r="A59" s="30" t="s">
        <v>369</v>
      </c>
    </row>
    <row r="61" spans="1:68" x14ac:dyDescent="0.25">
      <c r="A61" s="13" t="s">
        <v>374</v>
      </c>
    </row>
    <row r="62" spans="1:68" x14ac:dyDescent="0.25">
      <c r="B62" s="16"/>
      <c r="C62" s="16"/>
      <c r="D62" s="13">
        <v>1</v>
      </c>
      <c r="E62" s="13">
        <v>2</v>
      </c>
      <c r="F62" s="13">
        <v>3</v>
      </c>
      <c r="G62" s="13">
        <v>4</v>
      </c>
      <c r="H62" s="13">
        <v>5</v>
      </c>
      <c r="I62" s="13">
        <v>6</v>
      </c>
      <c r="J62" s="13">
        <v>7</v>
      </c>
      <c r="K62" s="13">
        <v>8</v>
      </c>
      <c r="L62" s="13">
        <v>9</v>
      </c>
      <c r="M62" s="13">
        <v>10</v>
      </c>
      <c r="N62" s="13">
        <v>11</v>
      </c>
      <c r="O62" s="13">
        <v>12</v>
      </c>
      <c r="P62" s="13">
        <v>13</v>
      </c>
      <c r="Q62" s="13">
        <v>14</v>
      </c>
      <c r="R62" s="13">
        <v>15</v>
      </c>
      <c r="S62" s="13">
        <v>16</v>
      </c>
      <c r="T62" s="13">
        <v>17</v>
      </c>
      <c r="U62" s="13">
        <v>18</v>
      </c>
      <c r="V62" s="13">
        <v>19</v>
      </c>
      <c r="W62" s="13">
        <v>20</v>
      </c>
      <c r="Z62" s="19" cm="1">
        <f t="array" ref="Z62:AS62">time_index</f>
        <v>1</v>
      </c>
      <c r="AA62">
        <v>2</v>
      </c>
      <c r="AB62" s="13">
        <v>3</v>
      </c>
      <c r="AC62" s="13">
        <v>4</v>
      </c>
      <c r="AD62" s="13">
        <v>5</v>
      </c>
      <c r="AE62" s="13">
        <v>6</v>
      </c>
      <c r="AF62" s="13">
        <v>7</v>
      </c>
      <c r="AG62" s="13">
        <v>8</v>
      </c>
      <c r="AH62" s="13">
        <v>9</v>
      </c>
      <c r="AI62" s="13">
        <v>10</v>
      </c>
      <c r="AJ62" s="13">
        <v>11</v>
      </c>
      <c r="AK62" s="13">
        <v>12</v>
      </c>
      <c r="AL62" s="13">
        <v>13</v>
      </c>
      <c r="AM62" s="13">
        <v>14</v>
      </c>
      <c r="AN62" s="13">
        <v>15</v>
      </c>
      <c r="AO62" s="13">
        <v>16</v>
      </c>
      <c r="AP62" s="13">
        <v>17</v>
      </c>
      <c r="AQ62" s="13">
        <v>18</v>
      </c>
      <c r="AR62" s="13">
        <v>19</v>
      </c>
      <c r="AS62" s="13">
        <v>20</v>
      </c>
    </row>
    <row r="63" spans="1:68" ht="30" x14ac:dyDescent="0.25">
      <c r="A63" s="130"/>
      <c r="C63" s="57" t="s">
        <v>156</v>
      </c>
      <c r="D63" s="53" cm="1">
        <f t="array" ref="D63:W63">years</f>
        <v>2018</v>
      </c>
      <c r="E63" s="53">
        <v>2019</v>
      </c>
      <c r="F63" s="53">
        <v>2020</v>
      </c>
      <c r="G63" s="53">
        <v>2021</v>
      </c>
      <c r="H63" s="53">
        <v>2022</v>
      </c>
      <c r="I63" s="53">
        <v>2023</v>
      </c>
      <c r="J63" s="53">
        <v>2024</v>
      </c>
      <c r="K63" s="53">
        <v>2025</v>
      </c>
      <c r="L63" s="53">
        <v>2026</v>
      </c>
      <c r="M63" s="53">
        <v>2027</v>
      </c>
      <c r="N63" s="53">
        <v>2028</v>
      </c>
      <c r="O63" s="53">
        <v>2029</v>
      </c>
      <c r="P63" s="53">
        <v>2030</v>
      </c>
      <c r="Q63" s="53">
        <v>2031</v>
      </c>
      <c r="R63" s="53">
        <v>2032</v>
      </c>
      <c r="S63" s="53">
        <v>2033</v>
      </c>
      <c r="T63" s="53">
        <v>2034</v>
      </c>
      <c r="U63" s="53">
        <v>2035</v>
      </c>
      <c r="V63" s="53">
        <v>2036</v>
      </c>
      <c r="W63" s="53">
        <v>2037</v>
      </c>
      <c r="Z63" s="235" cm="1">
        <f t="array" ref="Z63:AS63">years</f>
        <v>2018</v>
      </c>
      <c r="AA63" s="54">
        <v>2019</v>
      </c>
      <c r="AB63" s="53">
        <v>2020</v>
      </c>
      <c r="AC63" s="53">
        <v>2021</v>
      </c>
      <c r="AD63" s="53">
        <v>2022</v>
      </c>
      <c r="AE63" s="53">
        <v>2023</v>
      </c>
      <c r="AF63" s="53">
        <v>2024</v>
      </c>
      <c r="AG63" s="53">
        <v>2025</v>
      </c>
      <c r="AH63" s="53">
        <v>2026</v>
      </c>
      <c r="AI63" s="53">
        <v>2027</v>
      </c>
      <c r="AJ63" s="53">
        <v>2028</v>
      </c>
      <c r="AK63" s="53">
        <v>2029</v>
      </c>
      <c r="AL63" s="53">
        <v>2030</v>
      </c>
      <c r="AM63" s="53">
        <v>2031</v>
      </c>
      <c r="AN63" s="53">
        <v>2032</v>
      </c>
      <c r="AO63" s="53">
        <v>2033</v>
      </c>
      <c r="AP63" s="53">
        <v>2034</v>
      </c>
      <c r="AQ63" s="53">
        <v>2035</v>
      </c>
      <c r="AR63" s="53">
        <v>2036</v>
      </c>
      <c r="AS63" s="53">
        <v>2037</v>
      </c>
    </row>
    <row r="64" spans="1:68" x14ac:dyDescent="0.25">
      <c r="A64" s="7" t="str" cm="1">
        <f t="array" ref="A64:A79">core_elements</f>
        <v>Application server hardware</v>
      </c>
      <c r="C64" s="10">
        <v>8</v>
      </c>
      <c r="D64" s="74">
        <v>0</v>
      </c>
      <c r="E64" s="27">
        <f>IF(E$62&gt;=$C64,INDEX($D42:E42,1,MATCH(E$62-$C64+1,$D$40:E$40)),0)</f>
        <v>0</v>
      </c>
      <c r="F64" s="27">
        <f>IF(F$62&gt;=$C64,INDEX($D42:F42,1,MATCH(F$62-$C64+1,$D$40:F$40)),0)</f>
        <v>0</v>
      </c>
      <c r="G64" s="27">
        <f>IF(G$62&gt;=$C64,INDEX($D42:G42,1,MATCH(G$62-$C64+1,$D$40:G$40)),0)</f>
        <v>0</v>
      </c>
      <c r="H64" s="27">
        <f>IF(H$62&gt;=$C64,INDEX($D42:H42,1,MATCH(H$62-$C64+1,$D$40:H$40)),0)</f>
        <v>0</v>
      </c>
      <c r="I64" s="27">
        <f>IF(I$62&gt;=$C64,INDEX($D42:I42,1,MATCH(I$62-$C64+1,$D$40:I$40)),0)</f>
        <v>0</v>
      </c>
      <c r="J64" s="27">
        <f>IF(J$62&gt;=$C64,INDEX($D42:J42,1,MATCH(J$62-$C64+1,$D$40:J$40)),0)</f>
        <v>0</v>
      </c>
      <c r="K64" s="27">
        <f>IF(K$62&gt;=$C64,INDEX($D42:K42,1,MATCH(K$62-$C64+1,$D$40:K$40)),0)</f>
        <v>4</v>
      </c>
      <c r="L64" s="27">
        <f>IF(L$62&gt;=$C64,INDEX($D42:L42,1,MATCH(L$62-$C64+1,$D$40:L$40)),0)</f>
        <v>0</v>
      </c>
      <c r="M64" s="27">
        <f>IF(M$62&gt;=$C64,INDEX($D42:M42,1,MATCH(M$62-$C64+1,$D$40:M$40)),0)</f>
        <v>0</v>
      </c>
      <c r="N64" s="27">
        <f>IF(N$62&gt;=$C64,INDEX($D42:N42,1,MATCH(N$62-$C64+1,$D$40:N$40)),0)</f>
        <v>0</v>
      </c>
      <c r="O64" s="27">
        <f>IF(O$62&gt;=$C64,INDEX($D42:O42,1,MATCH(O$62-$C64+1,$D$40:O$40)),0)</f>
        <v>0</v>
      </c>
      <c r="P64" s="27">
        <f>IF(P$62&gt;=$C64,INDEX($D42:P42,1,MATCH(P$62-$C64+1,$D$40:P$40)),0)</f>
        <v>0</v>
      </c>
      <c r="Q64" s="27">
        <f>IF(Q$62&gt;=$C64,INDEX($D42:Q42,1,MATCH(Q$62-$C64+1,$D$40:Q$40)),0)</f>
        <v>0</v>
      </c>
      <c r="R64" s="27">
        <f>IF(R$62&gt;=$C64,INDEX($D42:R42,1,MATCH(R$62-$C64+1,$D$40:R$40)),0)</f>
        <v>0</v>
      </c>
      <c r="S64" s="27">
        <f>IF(S$62&gt;=$C64,INDEX($D42:S42,1,MATCH(S$62-$C64+1,$D$40:S$40)),0)</f>
        <v>4</v>
      </c>
      <c r="T64" s="27">
        <f>IF(T$62&gt;=$C64,INDEX($D42:T42,1,MATCH(T$62-$C64+1,$D$40:T$40)),0)</f>
        <v>0</v>
      </c>
      <c r="U64" s="27">
        <f>IF(U$62&gt;=$C64,INDEX($D42:U42,1,MATCH(U$62-$C64+1,$D$40:U$40)),0)</f>
        <v>0</v>
      </c>
      <c r="V64" s="27">
        <f>IF(V$62&gt;=$C64,INDEX($D42:V42,1,MATCH(V$62-$C64+1,$D$40:V$40)),0)</f>
        <v>0</v>
      </c>
      <c r="W64" s="27">
        <f>IF(W$62&gt;=$C64,INDEX($D42:W42,1,MATCH(W$62-$C64+1,$D$40:W$40)),0)</f>
        <v>0</v>
      </c>
      <c r="Z64" s="27">
        <v>0</v>
      </c>
      <c r="AA64" s="27">
        <f>IF(AA$62&gt;=$C64,INDEX($Z42:AA42,1,MATCH(AA$62-$C64+1,$Z$40:AA$40)),0)</f>
        <v>0</v>
      </c>
      <c r="AB64" s="27">
        <f>IF(AB$62&gt;=$C64,INDEX($Z42:AB42,1,MATCH(AB$62-$C64+1,$Z$40:AB$40)),0)</f>
        <v>0</v>
      </c>
      <c r="AC64" s="27">
        <f>IF(AC$62&gt;=$C64,INDEX($Z42:AC42,1,MATCH(AC$62-$C64+1,$Z$40:AC$40)),0)</f>
        <v>0</v>
      </c>
      <c r="AD64" s="27">
        <f>IF(AD$62&gt;=$C64,INDEX($Z42:AD42,1,MATCH(AD$62-$C64+1,$Z$40:AD$40)),0)</f>
        <v>0</v>
      </c>
      <c r="AE64" s="27">
        <f>IF(AE$62&gt;=$C64,INDEX($Z42:AE42,1,MATCH(AE$62-$C64+1,$Z$40:AE$40)),0)</f>
        <v>0</v>
      </c>
      <c r="AF64" s="27">
        <f>IF(AF$62&gt;=$C64,INDEX($Z42:AF42,1,MATCH(AF$62-$C64+1,$Z$40:AF$40)),0)</f>
        <v>0</v>
      </c>
      <c r="AG64" s="27">
        <f>IF(AG$62&gt;=$C64,INDEX($Z42:AG42,1,MATCH(AG$62-$C64+1,$Z$40:AG$40)),0)</f>
        <v>2</v>
      </c>
      <c r="AH64" s="27">
        <f>IF(AH$62&gt;=$C64,INDEX($Z42:AH42,1,MATCH(AH$62-$C64+1,$Z$40:AH$40)),0)</f>
        <v>0</v>
      </c>
      <c r="AI64" s="27">
        <f>IF(AI$62&gt;=$C64,INDEX($Z42:AI42,1,MATCH(AI$62-$C64+1,$Z$40:AI$40)),0)</f>
        <v>0</v>
      </c>
      <c r="AJ64" s="27">
        <f>IF(AJ$62&gt;=$C64,INDEX($Z42:AJ42,1,MATCH(AJ$62-$C64+1,$Z$40:AJ$40)),0)</f>
        <v>0</v>
      </c>
      <c r="AK64" s="27">
        <f>IF(AK$62&gt;=$C64,INDEX($Z42:AK42,1,MATCH(AK$62-$C64+1,$Z$40:AK$40)),0)</f>
        <v>0</v>
      </c>
      <c r="AL64" s="27">
        <f>IF(AL$62&gt;=$C64,INDEX($Z42:AL42,1,MATCH(AL$62-$C64+1,$Z$40:AL$40)),0)</f>
        <v>0</v>
      </c>
      <c r="AM64" s="27">
        <f>IF(AM$62&gt;=$C64,INDEX($Z42:AM42,1,MATCH(AM$62-$C64+1,$Z$40:AM$40)),0)</f>
        <v>0</v>
      </c>
      <c r="AN64" s="27">
        <f>IF(AN$62&gt;=$C64,INDEX($Z42:AN42,1,MATCH(AN$62-$C64+1,$Z$40:AN$40)),0)</f>
        <v>0</v>
      </c>
      <c r="AO64" s="27">
        <f>IF(AO$62&gt;=$C64,INDEX($Z42:AO42,1,MATCH(AO$62-$C64+1,$Z$40:AO$40)),0)</f>
        <v>2</v>
      </c>
      <c r="AP64" s="27">
        <f>IF(AP$62&gt;=$C64,INDEX($Z42:AP42,1,MATCH(AP$62-$C64+1,$Z$40:AP$40)),0)</f>
        <v>0</v>
      </c>
      <c r="AQ64" s="27">
        <f>IF(AQ$62&gt;=$C64,INDEX($Z42:AQ42,1,MATCH(AQ$62-$C64+1,$Z$40:AQ$40)),0)</f>
        <v>0</v>
      </c>
      <c r="AR64" s="27">
        <f>IF(AR$62&gt;=$C64,INDEX($Z42:AR42,1,MATCH(AR$62-$C64+1,$Z$40:AR$40)),0)</f>
        <v>0</v>
      </c>
      <c r="AS64" s="27">
        <f>IF(AS$62&gt;=$C64,INDEX($Z42:AS42,1,MATCH(AS$62-$C64+1,$Z$40:AS$40)),0)</f>
        <v>0</v>
      </c>
    </row>
    <row r="65" spans="1:49" x14ac:dyDescent="0.25">
      <c r="A65" s="7" t="str">
        <v>Application server software</v>
      </c>
      <c r="C65" s="10">
        <v>8</v>
      </c>
      <c r="D65" s="74">
        <v>0</v>
      </c>
      <c r="E65" s="27">
        <f>IF(E$62&gt;=$C65,INDEX($D43:E43,1,MATCH(E$62-$C65+1,$D$40:E$40)),0)</f>
        <v>0</v>
      </c>
      <c r="F65" s="27">
        <f>IF(F$62&gt;=$C65,INDEX($D43:F43,1,MATCH(F$62-$C65+1,$D$40:F$40)),0)</f>
        <v>0</v>
      </c>
      <c r="G65" s="27">
        <f>IF(G$62&gt;=$C65,INDEX($D43:G43,1,MATCH(G$62-$C65+1,$D$40:G$40)),0)</f>
        <v>0</v>
      </c>
      <c r="H65" s="27">
        <f>IF(H$62&gt;=$C65,INDEX($D43:H43,1,MATCH(H$62-$C65+1,$D$40:H$40)),0)</f>
        <v>0</v>
      </c>
      <c r="I65" s="27">
        <f>IF(I$62&gt;=$C65,INDEX($D43:I43,1,MATCH(I$62-$C65+1,$D$40:I$40)),0)</f>
        <v>0</v>
      </c>
      <c r="J65" s="27">
        <f>IF(J$62&gt;=$C65,INDEX($D43:J43,1,MATCH(J$62-$C65+1,$D$40:J$40)),0)</f>
        <v>0</v>
      </c>
      <c r="K65" s="27">
        <f>IF(K$62&gt;=$C65,INDEX($D43:K43,1,MATCH(K$62-$C65+1,$D$40:K$40)),0)</f>
        <v>4</v>
      </c>
      <c r="L65" s="27">
        <f>IF(L$62&gt;=$C65,INDEX($D43:L43,1,MATCH(L$62-$C65+1,$D$40:L$40)),0)</f>
        <v>0</v>
      </c>
      <c r="M65" s="27">
        <f>IF(M$62&gt;=$C65,INDEX($D43:M43,1,MATCH(M$62-$C65+1,$D$40:M$40)),0)</f>
        <v>0</v>
      </c>
      <c r="N65" s="27">
        <f>IF(N$62&gt;=$C65,INDEX($D43:N43,1,MATCH(N$62-$C65+1,$D$40:N$40)),0)</f>
        <v>0</v>
      </c>
      <c r="O65" s="27">
        <f>IF(O$62&gt;=$C65,INDEX($D43:O43,1,MATCH(O$62-$C65+1,$D$40:O$40)),0)</f>
        <v>0</v>
      </c>
      <c r="P65" s="27">
        <f>IF(P$62&gt;=$C65,INDEX($D43:P43,1,MATCH(P$62-$C65+1,$D$40:P$40)),0)</f>
        <v>0</v>
      </c>
      <c r="Q65" s="27">
        <f>IF(Q$62&gt;=$C65,INDEX($D43:Q43,1,MATCH(Q$62-$C65+1,$D$40:Q$40)),0)</f>
        <v>0</v>
      </c>
      <c r="R65" s="27">
        <f>IF(R$62&gt;=$C65,INDEX($D43:R43,1,MATCH(R$62-$C65+1,$D$40:R$40)),0)</f>
        <v>0</v>
      </c>
      <c r="S65" s="27">
        <f>IF(S$62&gt;=$C65,INDEX($D43:S43,1,MATCH(S$62-$C65+1,$D$40:S$40)),0)</f>
        <v>4</v>
      </c>
      <c r="T65" s="27">
        <f>IF(T$62&gt;=$C65,INDEX($D43:T43,1,MATCH(T$62-$C65+1,$D$40:T$40)),0)</f>
        <v>0</v>
      </c>
      <c r="U65" s="27">
        <f>IF(U$62&gt;=$C65,INDEX($D43:U43,1,MATCH(U$62-$C65+1,$D$40:U$40)),0)</f>
        <v>0</v>
      </c>
      <c r="V65" s="27">
        <f>IF(V$62&gt;=$C65,INDEX($D43:V43,1,MATCH(V$62-$C65+1,$D$40:V$40)),0)</f>
        <v>0</v>
      </c>
      <c r="W65" s="27">
        <f>IF(W$62&gt;=$C65,INDEX($D43:W43,1,MATCH(W$62-$C65+1,$D$40:W$40)),0)</f>
        <v>0</v>
      </c>
      <c r="Z65" s="27">
        <v>0</v>
      </c>
      <c r="AA65" s="27">
        <f>IF(AA$62&gt;=$C65,INDEX($Z43:AA43,1,MATCH(AA$62-$C65+1,$Z$40:AA$40)),0)</f>
        <v>0</v>
      </c>
      <c r="AB65" s="27">
        <f>IF(AB$62&gt;=$C65,INDEX($Z43:AB43,1,MATCH(AB$62-$C65+1,$Z$40:AB$40)),0)</f>
        <v>0</v>
      </c>
      <c r="AC65" s="27">
        <f>IF(AC$62&gt;=$C65,INDEX($Z43:AC43,1,MATCH(AC$62-$C65+1,$Z$40:AC$40)),0)</f>
        <v>0</v>
      </c>
      <c r="AD65" s="27">
        <f>IF(AD$62&gt;=$C65,INDEX($Z43:AD43,1,MATCH(AD$62-$C65+1,$Z$40:AD$40)),0)</f>
        <v>0</v>
      </c>
      <c r="AE65" s="27">
        <f>IF(AE$62&gt;=$C65,INDEX($Z43:AE43,1,MATCH(AE$62-$C65+1,$Z$40:AE$40)),0)</f>
        <v>0</v>
      </c>
      <c r="AF65" s="27">
        <f>IF(AF$62&gt;=$C65,INDEX($Z43:AF43,1,MATCH(AF$62-$C65+1,$Z$40:AF$40)),0)</f>
        <v>0</v>
      </c>
      <c r="AG65" s="27">
        <f>IF(AG$62&gt;=$C65,INDEX($Z43:AG43,1,MATCH(AG$62-$C65+1,$Z$40:AG$40)),0)</f>
        <v>2</v>
      </c>
      <c r="AH65" s="27">
        <f>IF(AH$62&gt;=$C65,INDEX($Z43:AH43,1,MATCH(AH$62-$C65+1,$Z$40:AH$40)),0)</f>
        <v>0</v>
      </c>
      <c r="AI65" s="27">
        <f>IF(AI$62&gt;=$C65,INDEX($Z43:AI43,1,MATCH(AI$62-$C65+1,$Z$40:AI$40)),0)</f>
        <v>0</v>
      </c>
      <c r="AJ65" s="27">
        <f>IF(AJ$62&gt;=$C65,INDEX($Z43:AJ43,1,MATCH(AJ$62-$C65+1,$Z$40:AJ$40)),0)</f>
        <v>0</v>
      </c>
      <c r="AK65" s="27">
        <f>IF(AK$62&gt;=$C65,INDEX($Z43:AK43,1,MATCH(AK$62-$C65+1,$Z$40:AK$40)),0)</f>
        <v>0</v>
      </c>
      <c r="AL65" s="27">
        <f>IF(AL$62&gt;=$C65,INDEX($Z43:AL43,1,MATCH(AL$62-$C65+1,$Z$40:AL$40)),0)</f>
        <v>0</v>
      </c>
      <c r="AM65" s="27">
        <f>IF(AM$62&gt;=$C65,INDEX($Z43:AM43,1,MATCH(AM$62-$C65+1,$Z$40:AM$40)),0)</f>
        <v>0</v>
      </c>
      <c r="AN65" s="27">
        <f>IF(AN$62&gt;=$C65,INDEX($Z43:AN43,1,MATCH(AN$62-$C65+1,$Z$40:AN$40)),0)</f>
        <v>0</v>
      </c>
      <c r="AO65" s="27">
        <f>IF(AO$62&gt;=$C65,INDEX($Z43:AO43,1,MATCH(AO$62-$C65+1,$Z$40:AO$40)),0)</f>
        <v>2</v>
      </c>
      <c r="AP65" s="27">
        <f>IF(AP$62&gt;=$C65,INDEX($Z43:AP43,1,MATCH(AP$62-$C65+1,$Z$40:AP$40)),0)</f>
        <v>0</v>
      </c>
      <c r="AQ65" s="27">
        <f>IF(AQ$62&gt;=$C65,INDEX($Z43:AQ43,1,MATCH(AQ$62-$C65+1,$Z$40:AQ$40)),0)</f>
        <v>0</v>
      </c>
      <c r="AR65" s="27">
        <f>IF(AR$62&gt;=$C65,INDEX($Z43:AR43,1,MATCH(AR$62-$C65+1,$Z$40:AR$40)),0)</f>
        <v>0</v>
      </c>
      <c r="AS65" s="27">
        <f>IF(AS$62&gt;=$C65,INDEX($Z43:AS43,1,MATCH(AS$62-$C65+1,$Z$40:AS$40)),0)</f>
        <v>0</v>
      </c>
    </row>
    <row r="66" spans="1:49" x14ac:dyDescent="0.25">
      <c r="A66" s="7" t="str">
        <v>Charging data function hardware</v>
      </c>
      <c r="C66" s="10">
        <v>8</v>
      </c>
      <c r="D66" s="74">
        <v>0</v>
      </c>
      <c r="E66" s="27">
        <f>IF(E$62&gt;=$C66,INDEX($D44:E44,1,MATCH(E$62-$C66+1,$D$40:E$40)),0)</f>
        <v>0</v>
      </c>
      <c r="F66" s="27">
        <f>IF(F$62&gt;=$C66,INDEX($D44:F44,1,MATCH(F$62-$C66+1,$D$40:F$40)),0)</f>
        <v>0</v>
      </c>
      <c r="G66" s="27">
        <f>IF(G$62&gt;=$C66,INDEX($D44:G44,1,MATCH(G$62-$C66+1,$D$40:G$40)),0)</f>
        <v>0</v>
      </c>
      <c r="H66" s="27">
        <f>IF(H$62&gt;=$C66,INDEX($D44:H44,1,MATCH(H$62-$C66+1,$D$40:H$40)),0)</f>
        <v>0</v>
      </c>
      <c r="I66" s="27">
        <f>IF(I$62&gt;=$C66,INDEX($D44:I44,1,MATCH(I$62-$C66+1,$D$40:I$40)),0)</f>
        <v>0</v>
      </c>
      <c r="J66" s="27">
        <f>IF(J$62&gt;=$C66,INDEX($D44:J44,1,MATCH(J$62-$C66+1,$D$40:J$40)),0)</f>
        <v>0</v>
      </c>
      <c r="K66" s="27">
        <f>IF(K$62&gt;=$C66,INDEX($D44:K44,1,MATCH(K$62-$C66+1,$D$40:K$40)),0)</f>
        <v>2</v>
      </c>
      <c r="L66" s="27">
        <f>IF(L$62&gt;=$C66,INDEX($D44:L44,1,MATCH(L$62-$C66+1,$D$40:L$40)),0)</f>
        <v>0</v>
      </c>
      <c r="M66" s="27">
        <f>IF(M$62&gt;=$C66,INDEX($D44:M44,1,MATCH(M$62-$C66+1,$D$40:M$40)),0)</f>
        <v>0</v>
      </c>
      <c r="N66" s="27">
        <f>IF(N$62&gt;=$C66,INDEX($D44:N44,1,MATCH(N$62-$C66+1,$D$40:N$40)),0)</f>
        <v>0</v>
      </c>
      <c r="O66" s="27">
        <f>IF(O$62&gt;=$C66,INDEX($D44:O44,1,MATCH(O$62-$C66+1,$D$40:O$40)),0)</f>
        <v>0</v>
      </c>
      <c r="P66" s="27">
        <f>IF(P$62&gt;=$C66,INDEX($D44:P44,1,MATCH(P$62-$C66+1,$D$40:P$40)),0)</f>
        <v>0</v>
      </c>
      <c r="Q66" s="27">
        <f>IF(Q$62&gt;=$C66,INDEX($D44:Q44,1,MATCH(Q$62-$C66+1,$D$40:Q$40)),0)</f>
        <v>0</v>
      </c>
      <c r="R66" s="27">
        <f>IF(R$62&gt;=$C66,INDEX($D44:R44,1,MATCH(R$62-$C66+1,$D$40:R$40)),0)</f>
        <v>0</v>
      </c>
      <c r="S66" s="27">
        <f>IF(S$62&gt;=$C66,INDEX($D44:S44,1,MATCH(S$62-$C66+1,$D$40:S$40)),0)</f>
        <v>2</v>
      </c>
      <c r="T66" s="27">
        <f>IF(T$62&gt;=$C66,INDEX($D44:T44,1,MATCH(T$62-$C66+1,$D$40:T$40)),0)</f>
        <v>0</v>
      </c>
      <c r="U66" s="27">
        <f>IF(U$62&gt;=$C66,INDEX($D44:U44,1,MATCH(U$62-$C66+1,$D$40:U$40)),0)</f>
        <v>0</v>
      </c>
      <c r="V66" s="27">
        <f>IF(V$62&gt;=$C66,INDEX($D44:V44,1,MATCH(V$62-$C66+1,$D$40:V$40)),0)</f>
        <v>0</v>
      </c>
      <c r="W66" s="27">
        <f>IF(W$62&gt;=$C66,INDEX($D44:W44,1,MATCH(W$62-$C66+1,$D$40:W$40)),0)</f>
        <v>0</v>
      </c>
      <c r="Z66" s="27">
        <v>0</v>
      </c>
      <c r="AA66" s="27">
        <f>IF(AA$62&gt;=$C66,INDEX($Z44:AA44,1,MATCH(AA$62-$C66+1,$Z$40:AA$40)),0)</f>
        <v>0</v>
      </c>
      <c r="AB66" s="27">
        <f>IF(AB$62&gt;=$C66,INDEX($Z44:AB44,1,MATCH(AB$62-$C66+1,$Z$40:AB$40)),0)</f>
        <v>0</v>
      </c>
      <c r="AC66" s="27">
        <f>IF(AC$62&gt;=$C66,INDEX($Z44:AC44,1,MATCH(AC$62-$C66+1,$Z$40:AC$40)),0)</f>
        <v>0</v>
      </c>
      <c r="AD66" s="27">
        <f>IF(AD$62&gt;=$C66,INDEX($Z44:AD44,1,MATCH(AD$62-$C66+1,$Z$40:AD$40)),0)</f>
        <v>0</v>
      </c>
      <c r="AE66" s="27">
        <f>IF(AE$62&gt;=$C66,INDEX($Z44:AE44,1,MATCH(AE$62-$C66+1,$Z$40:AE$40)),0)</f>
        <v>0</v>
      </c>
      <c r="AF66" s="27">
        <f>IF(AF$62&gt;=$C66,INDEX($Z44:AF44,1,MATCH(AF$62-$C66+1,$Z$40:AF$40)),0)</f>
        <v>0</v>
      </c>
      <c r="AG66" s="27">
        <f>IF(AG$62&gt;=$C66,INDEX($Z44:AG44,1,MATCH(AG$62-$C66+1,$Z$40:AG$40)),0)</f>
        <v>2</v>
      </c>
      <c r="AH66" s="27">
        <f>IF(AH$62&gt;=$C66,INDEX($Z44:AH44,1,MATCH(AH$62-$C66+1,$Z$40:AH$40)),0)</f>
        <v>0</v>
      </c>
      <c r="AI66" s="27">
        <f>IF(AI$62&gt;=$C66,INDEX($Z44:AI44,1,MATCH(AI$62-$C66+1,$Z$40:AI$40)),0)</f>
        <v>0</v>
      </c>
      <c r="AJ66" s="27">
        <f>IF(AJ$62&gt;=$C66,INDEX($Z44:AJ44,1,MATCH(AJ$62-$C66+1,$Z$40:AJ$40)),0)</f>
        <v>0</v>
      </c>
      <c r="AK66" s="27">
        <f>IF(AK$62&gt;=$C66,INDEX($Z44:AK44,1,MATCH(AK$62-$C66+1,$Z$40:AK$40)),0)</f>
        <v>0</v>
      </c>
      <c r="AL66" s="27">
        <f>IF(AL$62&gt;=$C66,INDEX($Z44:AL44,1,MATCH(AL$62-$C66+1,$Z$40:AL$40)),0)</f>
        <v>0</v>
      </c>
      <c r="AM66" s="27">
        <f>IF(AM$62&gt;=$C66,INDEX($Z44:AM44,1,MATCH(AM$62-$C66+1,$Z$40:AM$40)),0)</f>
        <v>0</v>
      </c>
      <c r="AN66" s="27">
        <f>IF(AN$62&gt;=$C66,INDEX($Z44:AN44,1,MATCH(AN$62-$C66+1,$Z$40:AN$40)),0)</f>
        <v>0</v>
      </c>
      <c r="AO66" s="27">
        <f>IF(AO$62&gt;=$C66,INDEX($Z44:AO44,1,MATCH(AO$62-$C66+1,$Z$40:AO$40)),0)</f>
        <v>2</v>
      </c>
      <c r="AP66" s="27">
        <f>IF(AP$62&gt;=$C66,INDEX($Z44:AP44,1,MATCH(AP$62-$C66+1,$Z$40:AP$40)),0)</f>
        <v>0</v>
      </c>
      <c r="AQ66" s="27">
        <f>IF(AQ$62&gt;=$C66,INDEX($Z44:AQ44,1,MATCH(AQ$62-$C66+1,$Z$40:AQ$40)),0)</f>
        <v>0</v>
      </c>
      <c r="AR66" s="27">
        <f>IF(AR$62&gt;=$C66,INDEX($Z44:AR44,1,MATCH(AR$62-$C66+1,$Z$40:AR$40)),0)</f>
        <v>0</v>
      </c>
      <c r="AS66" s="27">
        <f>IF(AS$62&gt;=$C66,INDEX($Z44:AS44,1,MATCH(AS$62-$C66+1,$Z$40:AS$40)),0)</f>
        <v>0</v>
      </c>
    </row>
    <row r="67" spans="1:49" x14ac:dyDescent="0.25">
      <c r="A67" s="7" t="str">
        <v>Charging data function software</v>
      </c>
      <c r="C67" s="10">
        <v>8</v>
      </c>
      <c r="D67" s="74">
        <v>0</v>
      </c>
      <c r="E67" s="27">
        <f>IF(E$62&gt;=$C67,INDEX($D45:E45,1,MATCH(E$62-$C67+1,$D$40:E$40)),0)</f>
        <v>0</v>
      </c>
      <c r="F67" s="27">
        <f>IF(F$62&gt;=$C67,INDEX($D45:F45,1,MATCH(F$62-$C67+1,$D$40:F$40)),0)</f>
        <v>0</v>
      </c>
      <c r="G67" s="27">
        <f>IF(G$62&gt;=$C67,INDEX($D45:G45,1,MATCH(G$62-$C67+1,$D$40:G$40)),0)</f>
        <v>0</v>
      </c>
      <c r="H67" s="27">
        <f>IF(H$62&gt;=$C67,INDEX($D45:H45,1,MATCH(H$62-$C67+1,$D$40:H$40)),0)</f>
        <v>0</v>
      </c>
      <c r="I67" s="27">
        <f>IF(I$62&gt;=$C67,INDEX($D45:I45,1,MATCH(I$62-$C67+1,$D$40:I$40)),0)</f>
        <v>0</v>
      </c>
      <c r="J67" s="27">
        <f>IF(J$62&gt;=$C67,INDEX($D45:J45,1,MATCH(J$62-$C67+1,$D$40:J$40)),0)</f>
        <v>0</v>
      </c>
      <c r="K67" s="27">
        <f>IF(K$62&gt;=$C67,INDEX($D45:K45,1,MATCH(K$62-$C67+1,$D$40:K$40)),0)</f>
        <v>2</v>
      </c>
      <c r="L67" s="27">
        <f>IF(L$62&gt;=$C67,INDEX($D45:L45,1,MATCH(L$62-$C67+1,$D$40:L$40)),0)</f>
        <v>0</v>
      </c>
      <c r="M67" s="27">
        <f>IF(M$62&gt;=$C67,INDEX($D45:M45,1,MATCH(M$62-$C67+1,$D$40:M$40)),0)</f>
        <v>0</v>
      </c>
      <c r="N67" s="27">
        <f>IF(N$62&gt;=$C67,INDEX($D45:N45,1,MATCH(N$62-$C67+1,$D$40:N$40)),0)</f>
        <v>0</v>
      </c>
      <c r="O67" s="27">
        <f>IF(O$62&gt;=$C67,INDEX($D45:O45,1,MATCH(O$62-$C67+1,$D$40:O$40)),0)</f>
        <v>0</v>
      </c>
      <c r="P67" s="27">
        <f>IF(P$62&gt;=$C67,INDEX($D45:P45,1,MATCH(P$62-$C67+1,$D$40:P$40)),0)</f>
        <v>0</v>
      </c>
      <c r="Q67" s="27">
        <f>IF(Q$62&gt;=$C67,INDEX($D45:Q45,1,MATCH(Q$62-$C67+1,$D$40:Q$40)),0)</f>
        <v>0</v>
      </c>
      <c r="R67" s="27">
        <f>IF(R$62&gt;=$C67,INDEX($D45:R45,1,MATCH(R$62-$C67+1,$D$40:R$40)),0)</f>
        <v>0</v>
      </c>
      <c r="S67" s="27">
        <f>IF(S$62&gt;=$C67,INDEX($D45:S45,1,MATCH(S$62-$C67+1,$D$40:S$40)),0)</f>
        <v>2</v>
      </c>
      <c r="T67" s="27">
        <f>IF(T$62&gt;=$C67,INDEX($D45:T45,1,MATCH(T$62-$C67+1,$D$40:T$40)),0)</f>
        <v>0</v>
      </c>
      <c r="U67" s="27">
        <f>IF(U$62&gt;=$C67,INDEX($D45:U45,1,MATCH(U$62-$C67+1,$D$40:U$40)),0)</f>
        <v>0</v>
      </c>
      <c r="V67" s="27">
        <f>IF(V$62&gt;=$C67,INDEX($D45:V45,1,MATCH(V$62-$C67+1,$D$40:V$40)),0)</f>
        <v>0</v>
      </c>
      <c r="W67" s="27">
        <f>IF(W$62&gt;=$C67,INDEX($D45:W45,1,MATCH(W$62-$C67+1,$D$40:W$40)),0)</f>
        <v>0</v>
      </c>
      <c r="Z67" s="27">
        <v>0</v>
      </c>
      <c r="AA67" s="27">
        <f>IF(AA$62&gt;=$C67,INDEX($Z45:AA45,1,MATCH(AA$62-$C67+1,$Z$40:AA$40)),0)</f>
        <v>0</v>
      </c>
      <c r="AB67" s="27">
        <f>IF(AB$62&gt;=$C67,INDEX($Z45:AB45,1,MATCH(AB$62-$C67+1,$Z$40:AB$40)),0)</f>
        <v>0</v>
      </c>
      <c r="AC67" s="27">
        <f>IF(AC$62&gt;=$C67,INDEX($Z45:AC45,1,MATCH(AC$62-$C67+1,$Z$40:AC$40)),0)</f>
        <v>0</v>
      </c>
      <c r="AD67" s="27">
        <f>IF(AD$62&gt;=$C67,INDEX($Z45:AD45,1,MATCH(AD$62-$C67+1,$Z$40:AD$40)),0)</f>
        <v>0</v>
      </c>
      <c r="AE67" s="27">
        <f>IF(AE$62&gt;=$C67,INDEX($Z45:AE45,1,MATCH(AE$62-$C67+1,$Z$40:AE$40)),0)</f>
        <v>0</v>
      </c>
      <c r="AF67" s="27">
        <f>IF(AF$62&gt;=$C67,INDEX($Z45:AF45,1,MATCH(AF$62-$C67+1,$Z$40:AF$40)),0)</f>
        <v>0</v>
      </c>
      <c r="AG67" s="27">
        <f>IF(AG$62&gt;=$C67,INDEX($Z45:AG45,1,MATCH(AG$62-$C67+1,$Z$40:AG$40)),0)</f>
        <v>2</v>
      </c>
      <c r="AH67" s="27">
        <f>IF(AH$62&gt;=$C67,INDEX($Z45:AH45,1,MATCH(AH$62-$C67+1,$Z$40:AH$40)),0)</f>
        <v>0</v>
      </c>
      <c r="AI67" s="27">
        <f>IF(AI$62&gt;=$C67,INDEX($Z45:AI45,1,MATCH(AI$62-$C67+1,$Z$40:AI$40)),0)</f>
        <v>0</v>
      </c>
      <c r="AJ67" s="27">
        <f>IF(AJ$62&gt;=$C67,INDEX($Z45:AJ45,1,MATCH(AJ$62-$C67+1,$Z$40:AJ$40)),0)</f>
        <v>0</v>
      </c>
      <c r="AK67" s="27">
        <f>IF(AK$62&gt;=$C67,INDEX($Z45:AK45,1,MATCH(AK$62-$C67+1,$Z$40:AK$40)),0)</f>
        <v>0</v>
      </c>
      <c r="AL67" s="27">
        <f>IF(AL$62&gt;=$C67,INDEX($Z45:AL45,1,MATCH(AL$62-$C67+1,$Z$40:AL$40)),0)</f>
        <v>0</v>
      </c>
      <c r="AM67" s="27">
        <f>IF(AM$62&gt;=$C67,INDEX($Z45:AM45,1,MATCH(AM$62-$C67+1,$Z$40:AM$40)),0)</f>
        <v>0</v>
      </c>
      <c r="AN67" s="27">
        <f>IF(AN$62&gt;=$C67,INDEX($Z45:AN45,1,MATCH(AN$62-$C67+1,$Z$40:AN$40)),0)</f>
        <v>0</v>
      </c>
      <c r="AO67" s="27">
        <f>IF(AO$62&gt;=$C67,INDEX($Z45:AO45,1,MATCH(AO$62-$C67+1,$Z$40:AO$40)),0)</f>
        <v>2</v>
      </c>
      <c r="AP67" s="27">
        <f>IF(AP$62&gt;=$C67,INDEX($Z45:AP45,1,MATCH(AP$62-$C67+1,$Z$40:AP$40)),0)</f>
        <v>0</v>
      </c>
      <c r="AQ67" s="27">
        <f>IF(AQ$62&gt;=$C67,INDEX($Z45:AQ45,1,MATCH(AQ$62-$C67+1,$Z$40:AQ$40)),0)</f>
        <v>0</v>
      </c>
      <c r="AR67" s="27">
        <f>IF(AR$62&gt;=$C67,INDEX($Z45:AR45,1,MATCH(AR$62-$C67+1,$Z$40:AR$40)),0)</f>
        <v>0</v>
      </c>
      <c r="AS67" s="27">
        <f>IF(AS$62&gt;=$C67,INDEX($Z45:AS45,1,MATCH(AS$62-$C67+1,$Z$40:AS$40)),0)</f>
        <v>0</v>
      </c>
    </row>
    <row r="68" spans="1:49" x14ac:dyDescent="0.25">
      <c r="A68" s="7" t="str">
        <v>Proxy - Call session control function hardware</v>
      </c>
      <c r="C68" s="10">
        <v>8</v>
      </c>
      <c r="D68" s="74">
        <v>0</v>
      </c>
      <c r="E68" s="27">
        <f>IF(E$62&gt;=$C68,INDEX($D46:E46,1,MATCH(E$62-$C68+1,$D$40:E$40)),0)</f>
        <v>0</v>
      </c>
      <c r="F68" s="27">
        <f>IF(F$62&gt;=$C68,INDEX($D46:F46,1,MATCH(F$62-$C68+1,$D$40:F$40)),0)</f>
        <v>0</v>
      </c>
      <c r="G68" s="27">
        <f>IF(G$62&gt;=$C68,INDEX($D46:G46,1,MATCH(G$62-$C68+1,$D$40:G$40)),0)</f>
        <v>0</v>
      </c>
      <c r="H68" s="27">
        <f>IF(H$62&gt;=$C68,INDEX($D46:H46,1,MATCH(H$62-$C68+1,$D$40:H$40)),0)</f>
        <v>0</v>
      </c>
      <c r="I68" s="27">
        <f>IF(I$62&gt;=$C68,INDEX($D46:I46,1,MATCH(I$62-$C68+1,$D$40:I$40)),0)</f>
        <v>0</v>
      </c>
      <c r="J68" s="27">
        <f>IF(J$62&gt;=$C68,INDEX($D46:J46,1,MATCH(J$62-$C68+1,$D$40:J$40)),0)</f>
        <v>0</v>
      </c>
      <c r="K68" s="27">
        <f>IF(K$62&gt;=$C68,INDEX($D46:K46,1,MATCH(K$62-$C68+1,$D$40:K$40)),0)</f>
        <v>4</v>
      </c>
      <c r="L68" s="27">
        <f>IF(L$62&gt;=$C68,INDEX($D46:L46,1,MATCH(L$62-$C68+1,$D$40:L$40)),0)</f>
        <v>0</v>
      </c>
      <c r="M68" s="27">
        <f>IF(M$62&gt;=$C68,INDEX($D46:M46,1,MATCH(M$62-$C68+1,$D$40:M$40)),0)</f>
        <v>0</v>
      </c>
      <c r="N68" s="27">
        <f>IF(N$62&gt;=$C68,INDEX($D46:N46,1,MATCH(N$62-$C68+1,$D$40:N$40)),0)</f>
        <v>0</v>
      </c>
      <c r="O68" s="27">
        <f>IF(O$62&gt;=$C68,INDEX($D46:O46,1,MATCH(O$62-$C68+1,$D$40:O$40)),0)</f>
        <v>0</v>
      </c>
      <c r="P68" s="27">
        <f>IF(P$62&gt;=$C68,INDEX($D46:P46,1,MATCH(P$62-$C68+1,$D$40:P$40)),0)</f>
        <v>0</v>
      </c>
      <c r="Q68" s="27">
        <f>IF(Q$62&gt;=$C68,INDEX($D46:Q46,1,MATCH(Q$62-$C68+1,$D$40:Q$40)),0)</f>
        <v>0</v>
      </c>
      <c r="R68" s="27">
        <f>IF(R$62&gt;=$C68,INDEX($D46:R46,1,MATCH(R$62-$C68+1,$D$40:R$40)),0)</f>
        <v>0</v>
      </c>
      <c r="S68" s="27">
        <f>IF(S$62&gt;=$C68,INDEX($D46:S46,1,MATCH(S$62-$C68+1,$D$40:S$40)),0)</f>
        <v>4</v>
      </c>
      <c r="T68" s="27">
        <f>IF(T$62&gt;=$C68,INDEX($D46:T46,1,MATCH(T$62-$C68+1,$D$40:T$40)),0)</f>
        <v>0</v>
      </c>
      <c r="U68" s="27">
        <f>IF(U$62&gt;=$C68,INDEX($D46:U46,1,MATCH(U$62-$C68+1,$D$40:U$40)),0)</f>
        <v>0</v>
      </c>
      <c r="V68" s="27">
        <f>IF(V$62&gt;=$C68,INDEX($D46:V46,1,MATCH(V$62-$C68+1,$D$40:V$40)),0)</f>
        <v>0</v>
      </c>
      <c r="W68" s="27">
        <f>IF(W$62&gt;=$C68,INDEX($D46:W46,1,MATCH(W$62-$C68+1,$D$40:W$40)),0)</f>
        <v>0</v>
      </c>
      <c r="Z68" s="27">
        <v>0</v>
      </c>
      <c r="AA68" s="27">
        <f>IF(AA$62&gt;=$C68,INDEX($Z46:AA46,1,MATCH(AA$62-$C68+1,$Z$40:AA$40)),0)</f>
        <v>0</v>
      </c>
      <c r="AB68" s="27">
        <f>IF(AB$62&gt;=$C68,INDEX($Z46:AB46,1,MATCH(AB$62-$C68+1,$Z$40:AB$40)),0)</f>
        <v>0</v>
      </c>
      <c r="AC68" s="27">
        <f>IF(AC$62&gt;=$C68,INDEX($Z46:AC46,1,MATCH(AC$62-$C68+1,$Z$40:AC$40)),0)</f>
        <v>0</v>
      </c>
      <c r="AD68" s="27">
        <f>IF(AD$62&gt;=$C68,INDEX($Z46:AD46,1,MATCH(AD$62-$C68+1,$Z$40:AD$40)),0)</f>
        <v>0</v>
      </c>
      <c r="AE68" s="27">
        <f>IF(AE$62&gt;=$C68,INDEX($Z46:AE46,1,MATCH(AE$62-$C68+1,$Z$40:AE$40)),0)</f>
        <v>0</v>
      </c>
      <c r="AF68" s="27">
        <f>IF(AF$62&gt;=$C68,INDEX($Z46:AF46,1,MATCH(AF$62-$C68+1,$Z$40:AF$40)),0)</f>
        <v>0</v>
      </c>
      <c r="AG68" s="27">
        <f>IF(AG$62&gt;=$C68,INDEX($Z46:AG46,1,MATCH(AG$62-$C68+1,$Z$40:AG$40)),0)</f>
        <v>2</v>
      </c>
      <c r="AH68" s="27">
        <f>IF(AH$62&gt;=$C68,INDEX($Z46:AH46,1,MATCH(AH$62-$C68+1,$Z$40:AH$40)),0)</f>
        <v>0</v>
      </c>
      <c r="AI68" s="27">
        <f>IF(AI$62&gt;=$C68,INDEX($Z46:AI46,1,MATCH(AI$62-$C68+1,$Z$40:AI$40)),0)</f>
        <v>0</v>
      </c>
      <c r="AJ68" s="27">
        <f>IF(AJ$62&gt;=$C68,INDEX($Z46:AJ46,1,MATCH(AJ$62-$C68+1,$Z$40:AJ$40)),0)</f>
        <v>0</v>
      </c>
      <c r="AK68" s="27">
        <f>IF(AK$62&gt;=$C68,INDEX($Z46:AK46,1,MATCH(AK$62-$C68+1,$Z$40:AK$40)),0)</f>
        <v>0</v>
      </c>
      <c r="AL68" s="27">
        <f>IF(AL$62&gt;=$C68,INDEX($Z46:AL46,1,MATCH(AL$62-$C68+1,$Z$40:AL$40)),0)</f>
        <v>0</v>
      </c>
      <c r="AM68" s="27">
        <f>IF(AM$62&gt;=$C68,INDEX($Z46:AM46,1,MATCH(AM$62-$C68+1,$Z$40:AM$40)),0)</f>
        <v>0</v>
      </c>
      <c r="AN68" s="27">
        <f>IF(AN$62&gt;=$C68,INDEX($Z46:AN46,1,MATCH(AN$62-$C68+1,$Z$40:AN$40)),0)</f>
        <v>0</v>
      </c>
      <c r="AO68" s="27">
        <f>IF(AO$62&gt;=$C68,INDEX($Z46:AO46,1,MATCH(AO$62-$C68+1,$Z$40:AO$40)),0)</f>
        <v>2</v>
      </c>
      <c r="AP68" s="27">
        <f>IF(AP$62&gt;=$C68,INDEX($Z46:AP46,1,MATCH(AP$62-$C68+1,$Z$40:AP$40)),0)</f>
        <v>0</v>
      </c>
      <c r="AQ68" s="27">
        <f>IF(AQ$62&gt;=$C68,INDEX($Z46:AQ46,1,MATCH(AQ$62-$C68+1,$Z$40:AQ$40)),0)</f>
        <v>0</v>
      </c>
      <c r="AR68" s="27">
        <f>IF(AR$62&gt;=$C68,INDEX($Z46:AR46,1,MATCH(AR$62-$C68+1,$Z$40:AR$40)),0)</f>
        <v>0</v>
      </c>
      <c r="AS68" s="27">
        <f>IF(AS$62&gt;=$C68,INDEX($Z46:AS46,1,MATCH(AS$62-$C68+1,$Z$40:AS$40)),0)</f>
        <v>0</v>
      </c>
    </row>
    <row r="69" spans="1:49" x14ac:dyDescent="0.25">
      <c r="A69" s="7" t="str">
        <v>Proxy - Call session control function software</v>
      </c>
      <c r="C69" s="10">
        <v>8</v>
      </c>
      <c r="D69" s="74">
        <v>0</v>
      </c>
      <c r="E69" s="27">
        <f>IF(E$62&gt;=$C69,INDEX($D47:E47,1,MATCH(E$62-$C69+1,$D$40:E$40)),0)</f>
        <v>0</v>
      </c>
      <c r="F69" s="27">
        <f>IF(F$62&gt;=$C69,INDEX($D47:F47,1,MATCH(F$62-$C69+1,$D$40:F$40)),0)</f>
        <v>0</v>
      </c>
      <c r="G69" s="27">
        <f>IF(G$62&gt;=$C69,INDEX($D47:G47,1,MATCH(G$62-$C69+1,$D$40:G$40)),0)</f>
        <v>0</v>
      </c>
      <c r="H69" s="27">
        <f>IF(H$62&gt;=$C69,INDEX($D47:H47,1,MATCH(H$62-$C69+1,$D$40:H$40)),0)</f>
        <v>0</v>
      </c>
      <c r="I69" s="27">
        <f>IF(I$62&gt;=$C69,INDEX($D47:I47,1,MATCH(I$62-$C69+1,$D$40:I$40)),0)</f>
        <v>0</v>
      </c>
      <c r="J69" s="27">
        <f>IF(J$62&gt;=$C69,INDEX($D47:J47,1,MATCH(J$62-$C69+1,$D$40:J$40)),0)</f>
        <v>0</v>
      </c>
      <c r="K69" s="27">
        <f>IF(K$62&gt;=$C69,INDEX($D47:K47,1,MATCH(K$62-$C69+1,$D$40:K$40)),0)</f>
        <v>4</v>
      </c>
      <c r="L69" s="27">
        <f>IF(L$62&gt;=$C69,INDEX($D47:L47,1,MATCH(L$62-$C69+1,$D$40:L$40)),0)</f>
        <v>0</v>
      </c>
      <c r="M69" s="27">
        <f>IF(M$62&gt;=$C69,INDEX($D47:M47,1,MATCH(M$62-$C69+1,$D$40:M$40)),0)</f>
        <v>0</v>
      </c>
      <c r="N69" s="27">
        <f>IF(N$62&gt;=$C69,INDEX($D47:N47,1,MATCH(N$62-$C69+1,$D$40:N$40)),0)</f>
        <v>0</v>
      </c>
      <c r="O69" s="27">
        <f>IF(O$62&gt;=$C69,INDEX($D47:O47,1,MATCH(O$62-$C69+1,$D$40:O$40)),0)</f>
        <v>0</v>
      </c>
      <c r="P69" s="27">
        <f>IF(P$62&gt;=$C69,INDEX($D47:P47,1,MATCH(P$62-$C69+1,$D$40:P$40)),0)</f>
        <v>0</v>
      </c>
      <c r="Q69" s="27">
        <f>IF(Q$62&gt;=$C69,INDEX($D47:Q47,1,MATCH(Q$62-$C69+1,$D$40:Q$40)),0)</f>
        <v>0</v>
      </c>
      <c r="R69" s="27">
        <f>IF(R$62&gt;=$C69,INDEX($D47:R47,1,MATCH(R$62-$C69+1,$D$40:R$40)),0)</f>
        <v>0</v>
      </c>
      <c r="S69" s="27">
        <f>IF(S$62&gt;=$C69,INDEX($D47:S47,1,MATCH(S$62-$C69+1,$D$40:S$40)),0)</f>
        <v>4</v>
      </c>
      <c r="T69" s="27">
        <f>IF(T$62&gt;=$C69,INDEX($D47:T47,1,MATCH(T$62-$C69+1,$D$40:T$40)),0)</f>
        <v>0</v>
      </c>
      <c r="U69" s="27">
        <f>IF(U$62&gt;=$C69,INDEX($D47:U47,1,MATCH(U$62-$C69+1,$D$40:U$40)),0)</f>
        <v>0</v>
      </c>
      <c r="V69" s="27">
        <f>IF(V$62&gt;=$C69,INDEX($D47:V47,1,MATCH(V$62-$C69+1,$D$40:V$40)),0)</f>
        <v>0</v>
      </c>
      <c r="W69" s="27">
        <f>IF(W$62&gt;=$C69,INDEX($D47:W47,1,MATCH(W$62-$C69+1,$D$40:W$40)),0)</f>
        <v>0</v>
      </c>
      <c r="Z69" s="27">
        <v>0</v>
      </c>
      <c r="AA69" s="27">
        <f>IF(AA$62&gt;=$C69,INDEX($Z47:AA47,1,MATCH(AA$62-$C69+1,$Z$40:AA$40)),0)</f>
        <v>0</v>
      </c>
      <c r="AB69" s="27">
        <f>IF(AB$62&gt;=$C69,INDEX($Z47:AB47,1,MATCH(AB$62-$C69+1,$Z$40:AB$40)),0)</f>
        <v>0</v>
      </c>
      <c r="AC69" s="27">
        <f>IF(AC$62&gt;=$C69,INDEX($Z47:AC47,1,MATCH(AC$62-$C69+1,$Z$40:AC$40)),0)</f>
        <v>0</v>
      </c>
      <c r="AD69" s="27">
        <f>IF(AD$62&gt;=$C69,INDEX($Z47:AD47,1,MATCH(AD$62-$C69+1,$Z$40:AD$40)),0)</f>
        <v>0</v>
      </c>
      <c r="AE69" s="27">
        <f>IF(AE$62&gt;=$C69,INDEX($Z47:AE47,1,MATCH(AE$62-$C69+1,$Z$40:AE$40)),0)</f>
        <v>0</v>
      </c>
      <c r="AF69" s="27">
        <f>IF(AF$62&gt;=$C69,INDEX($Z47:AF47,1,MATCH(AF$62-$C69+1,$Z$40:AF$40)),0)</f>
        <v>0</v>
      </c>
      <c r="AG69" s="27">
        <f>IF(AG$62&gt;=$C69,INDEX($Z47:AG47,1,MATCH(AG$62-$C69+1,$Z$40:AG$40)),0)</f>
        <v>2</v>
      </c>
      <c r="AH69" s="27">
        <f>IF(AH$62&gt;=$C69,INDEX($Z47:AH47,1,MATCH(AH$62-$C69+1,$Z$40:AH$40)),0)</f>
        <v>0</v>
      </c>
      <c r="AI69" s="27">
        <f>IF(AI$62&gt;=$C69,INDEX($Z47:AI47,1,MATCH(AI$62-$C69+1,$Z$40:AI$40)),0)</f>
        <v>0</v>
      </c>
      <c r="AJ69" s="27">
        <f>IF(AJ$62&gt;=$C69,INDEX($Z47:AJ47,1,MATCH(AJ$62-$C69+1,$Z$40:AJ$40)),0)</f>
        <v>0</v>
      </c>
      <c r="AK69" s="27">
        <f>IF(AK$62&gt;=$C69,INDEX($Z47:AK47,1,MATCH(AK$62-$C69+1,$Z$40:AK$40)),0)</f>
        <v>0</v>
      </c>
      <c r="AL69" s="27">
        <f>IF(AL$62&gt;=$C69,INDEX($Z47:AL47,1,MATCH(AL$62-$C69+1,$Z$40:AL$40)),0)</f>
        <v>0</v>
      </c>
      <c r="AM69" s="27">
        <f>IF(AM$62&gt;=$C69,INDEX($Z47:AM47,1,MATCH(AM$62-$C69+1,$Z$40:AM$40)),0)</f>
        <v>0</v>
      </c>
      <c r="AN69" s="27">
        <f>IF(AN$62&gt;=$C69,INDEX($Z47:AN47,1,MATCH(AN$62-$C69+1,$Z$40:AN$40)),0)</f>
        <v>0</v>
      </c>
      <c r="AO69" s="27">
        <f>IF(AO$62&gt;=$C69,INDEX($Z47:AO47,1,MATCH(AO$62-$C69+1,$Z$40:AO$40)),0)</f>
        <v>2</v>
      </c>
      <c r="AP69" s="27">
        <f>IF(AP$62&gt;=$C69,INDEX($Z47:AP47,1,MATCH(AP$62-$C69+1,$Z$40:AP$40)),0)</f>
        <v>0</v>
      </c>
      <c r="AQ69" s="27">
        <f>IF(AQ$62&gt;=$C69,INDEX($Z47:AQ47,1,MATCH(AQ$62-$C69+1,$Z$40:AQ$40)),0)</f>
        <v>0</v>
      </c>
      <c r="AR69" s="27">
        <f>IF(AR$62&gt;=$C69,INDEX($Z47:AR47,1,MATCH(AR$62-$C69+1,$Z$40:AR$40)),0)</f>
        <v>0</v>
      </c>
      <c r="AS69" s="27">
        <f>IF(AS$62&gt;=$C69,INDEX($Z47:AS47,1,MATCH(AS$62-$C69+1,$Z$40:AS$40)),0)</f>
        <v>0</v>
      </c>
    </row>
    <row r="70" spans="1:49" x14ac:dyDescent="0.25">
      <c r="A70" s="7" t="str">
        <v>Interrogating - Call session control function hardware</v>
      </c>
      <c r="C70" s="10">
        <v>8</v>
      </c>
      <c r="D70" s="74">
        <v>0</v>
      </c>
      <c r="E70" s="27">
        <f>IF(E$62&gt;=$C70,INDEX($D48:E48,1,MATCH(E$62-$C70+1,$D$40:E$40)),0)</f>
        <v>0</v>
      </c>
      <c r="F70" s="27">
        <f>IF(F$62&gt;=$C70,INDEX($D48:F48,1,MATCH(F$62-$C70+1,$D$40:F$40)),0)</f>
        <v>0</v>
      </c>
      <c r="G70" s="27">
        <f>IF(G$62&gt;=$C70,INDEX($D48:G48,1,MATCH(G$62-$C70+1,$D$40:G$40)),0)</f>
        <v>0</v>
      </c>
      <c r="H70" s="27">
        <f>IF(H$62&gt;=$C70,INDEX($D48:H48,1,MATCH(H$62-$C70+1,$D$40:H$40)),0)</f>
        <v>0</v>
      </c>
      <c r="I70" s="27">
        <f>IF(I$62&gt;=$C70,INDEX($D48:I48,1,MATCH(I$62-$C70+1,$D$40:I$40)),0)</f>
        <v>0</v>
      </c>
      <c r="J70" s="27">
        <f>IF(J$62&gt;=$C70,INDEX($D48:J48,1,MATCH(J$62-$C70+1,$D$40:J$40)),0)</f>
        <v>0</v>
      </c>
      <c r="K70" s="27">
        <f>IF(K$62&gt;=$C70,INDEX($D48:K48,1,MATCH(K$62-$C70+1,$D$40:K$40)),0)</f>
        <v>4</v>
      </c>
      <c r="L70" s="27">
        <f>IF(L$62&gt;=$C70,INDEX($D48:L48,1,MATCH(L$62-$C70+1,$D$40:L$40)),0)</f>
        <v>0</v>
      </c>
      <c r="M70" s="27">
        <f>IF(M$62&gt;=$C70,INDEX($D48:M48,1,MATCH(M$62-$C70+1,$D$40:M$40)),0)</f>
        <v>0</v>
      </c>
      <c r="N70" s="27">
        <f>IF(N$62&gt;=$C70,INDEX($D48:N48,1,MATCH(N$62-$C70+1,$D$40:N$40)),0)</f>
        <v>0</v>
      </c>
      <c r="O70" s="27">
        <f>IF(O$62&gt;=$C70,INDEX($D48:O48,1,MATCH(O$62-$C70+1,$D$40:O$40)),0)</f>
        <v>0</v>
      </c>
      <c r="P70" s="27">
        <f>IF(P$62&gt;=$C70,INDEX($D48:P48,1,MATCH(P$62-$C70+1,$D$40:P$40)),0)</f>
        <v>0</v>
      </c>
      <c r="Q70" s="27">
        <f>IF(Q$62&gt;=$C70,INDEX($D48:Q48,1,MATCH(Q$62-$C70+1,$D$40:Q$40)),0)</f>
        <v>0</v>
      </c>
      <c r="R70" s="27">
        <f>IF(R$62&gt;=$C70,INDEX($D48:R48,1,MATCH(R$62-$C70+1,$D$40:R$40)),0)</f>
        <v>0</v>
      </c>
      <c r="S70" s="27">
        <f>IF(S$62&gt;=$C70,INDEX($D48:S48,1,MATCH(S$62-$C70+1,$D$40:S$40)),0)</f>
        <v>4</v>
      </c>
      <c r="T70" s="27">
        <f>IF(T$62&gt;=$C70,INDEX($D48:T48,1,MATCH(T$62-$C70+1,$D$40:T$40)),0)</f>
        <v>0</v>
      </c>
      <c r="U70" s="27">
        <f>IF(U$62&gt;=$C70,INDEX($D48:U48,1,MATCH(U$62-$C70+1,$D$40:U$40)),0)</f>
        <v>0</v>
      </c>
      <c r="V70" s="27">
        <f>IF(V$62&gt;=$C70,INDEX($D48:V48,1,MATCH(V$62-$C70+1,$D$40:V$40)),0)</f>
        <v>0</v>
      </c>
      <c r="W70" s="27">
        <f>IF(W$62&gt;=$C70,INDEX($D48:W48,1,MATCH(W$62-$C70+1,$D$40:W$40)),0)</f>
        <v>0</v>
      </c>
      <c r="Z70" s="27">
        <v>0</v>
      </c>
      <c r="AA70" s="27">
        <f>IF(AA$62&gt;=$C70,INDEX($Z48:AA48,1,MATCH(AA$62-$C70+1,$Z$40:AA$40)),0)</f>
        <v>0</v>
      </c>
      <c r="AB70" s="27">
        <f>IF(AB$62&gt;=$C70,INDEX($Z48:AB48,1,MATCH(AB$62-$C70+1,$Z$40:AB$40)),0)</f>
        <v>0</v>
      </c>
      <c r="AC70" s="27">
        <f>IF(AC$62&gt;=$C70,INDEX($Z48:AC48,1,MATCH(AC$62-$C70+1,$Z$40:AC$40)),0)</f>
        <v>0</v>
      </c>
      <c r="AD70" s="27">
        <f>IF(AD$62&gt;=$C70,INDEX($Z48:AD48,1,MATCH(AD$62-$C70+1,$Z$40:AD$40)),0)</f>
        <v>0</v>
      </c>
      <c r="AE70" s="27">
        <f>IF(AE$62&gt;=$C70,INDEX($Z48:AE48,1,MATCH(AE$62-$C70+1,$Z$40:AE$40)),0)</f>
        <v>0</v>
      </c>
      <c r="AF70" s="27">
        <f>IF(AF$62&gt;=$C70,INDEX($Z48:AF48,1,MATCH(AF$62-$C70+1,$Z$40:AF$40)),0)</f>
        <v>0</v>
      </c>
      <c r="AG70" s="27">
        <f>IF(AG$62&gt;=$C70,INDEX($Z48:AG48,1,MATCH(AG$62-$C70+1,$Z$40:AG$40)),0)</f>
        <v>2</v>
      </c>
      <c r="AH70" s="27">
        <f>IF(AH$62&gt;=$C70,INDEX($Z48:AH48,1,MATCH(AH$62-$C70+1,$Z$40:AH$40)),0)</f>
        <v>0</v>
      </c>
      <c r="AI70" s="27">
        <f>IF(AI$62&gt;=$C70,INDEX($Z48:AI48,1,MATCH(AI$62-$C70+1,$Z$40:AI$40)),0)</f>
        <v>0</v>
      </c>
      <c r="AJ70" s="27">
        <f>IF(AJ$62&gt;=$C70,INDEX($Z48:AJ48,1,MATCH(AJ$62-$C70+1,$Z$40:AJ$40)),0)</f>
        <v>0</v>
      </c>
      <c r="AK70" s="27">
        <f>IF(AK$62&gt;=$C70,INDEX($Z48:AK48,1,MATCH(AK$62-$C70+1,$Z$40:AK$40)),0)</f>
        <v>0</v>
      </c>
      <c r="AL70" s="27">
        <f>IF(AL$62&gt;=$C70,INDEX($Z48:AL48,1,MATCH(AL$62-$C70+1,$Z$40:AL$40)),0)</f>
        <v>0</v>
      </c>
      <c r="AM70" s="27">
        <f>IF(AM$62&gt;=$C70,INDEX($Z48:AM48,1,MATCH(AM$62-$C70+1,$Z$40:AM$40)),0)</f>
        <v>0</v>
      </c>
      <c r="AN70" s="27">
        <f>IF(AN$62&gt;=$C70,INDEX($Z48:AN48,1,MATCH(AN$62-$C70+1,$Z$40:AN$40)),0)</f>
        <v>0</v>
      </c>
      <c r="AO70" s="27">
        <f>IF(AO$62&gt;=$C70,INDEX($Z48:AO48,1,MATCH(AO$62-$C70+1,$Z$40:AO$40)),0)</f>
        <v>2</v>
      </c>
      <c r="AP70" s="27">
        <f>IF(AP$62&gt;=$C70,INDEX($Z48:AP48,1,MATCH(AP$62-$C70+1,$Z$40:AP$40)),0)</f>
        <v>0</v>
      </c>
      <c r="AQ70" s="27">
        <f>IF(AQ$62&gt;=$C70,INDEX($Z48:AQ48,1,MATCH(AQ$62-$C70+1,$Z$40:AQ$40)),0)</f>
        <v>0</v>
      </c>
      <c r="AR70" s="27">
        <f>IF(AR$62&gt;=$C70,INDEX($Z48:AR48,1,MATCH(AR$62-$C70+1,$Z$40:AR$40)),0)</f>
        <v>0</v>
      </c>
      <c r="AS70" s="27">
        <f>IF(AS$62&gt;=$C70,INDEX($Z48:AS48,1,MATCH(AS$62-$C70+1,$Z$40:AS$40)),0)</f>
        <v>0</v>
      </c>
    </row>
    <row r="71" spans="1:49" x14ac:dyDescent="0.25">
      <c r="A71" s="7" t="str">
        <v>Interrogating - Call session control function software</v>
      </c>
      <c r="C71" s="10">
        <v>8</v>
      </c>
      <c r="D71" s="74">
        <v>0</v>
      </c>
      <c r="E71" s="27">
        <f>IF(E$62&gt;=$C71,INDEX($D49:E49,1,MATCH(E$62-$C71+1,$D$40:E$40)),0)</f>
        <v>0</v>
      </c>
      <c r="F71" s="27">
        <f>IF(F$62&gt;=$C71,INDEX($D49:F49,1,MATCH(F$62-$C71+1,$D$40:F$40)),0)</f>
        <v>0</v>
      </c>
      <c r="G71" s="27">
        <f>IF(G$62&gt;=$C71,INDEX($D49:G49,1,MATCH(G$62-$C71+1,$D$40:G$40)),0)</f>
        <v>0</v>
      </c>
      <c r="H71" s="27">
        <f>IF(H$62&gt;=$C71,INDEX($D49:H49,1,MATCH(H$62-$C71+1,$D$40:H$40)),0)</f>
        <v>0</v>
      </c>
      <c r="I71" s="27">
        <f>IF(I$62&gt;=$C71,INDEX($D49:I49,1,MATCH(I$62-$C71+1,$D$40:I$40)),0)</f>
        <v>0</v>
      </c>
      <c r="J71" s="27">
        <f>IF(J$62&gt;=$C71,INDEX($D49:J49,1,MATCH(J$62-$C71+1,$D$40:J$40)),0)</f>
        <v>0</v>
      </c>
      <c r="K71" s="27">
        <f>IF(K$62&gt;=$C71,INDEX($D49:K49,1,MATCH(K$62-$C71+1,$D$40:K$40)),0)</f>
        <v>4</v>
      </c>
      <c r="L71" s="27">
        <f>IF(L$62&gt;=$C71,INDEX($D49:L49,1,MATCH(L$62-$C71+1,$D$40:L$40)),0)</f>
        <v>0</v>
      </c>
      <c r="M71" s="27">
        <f>IF(M$62&gt;=$C71,INDEX($D49:M49,1,MATCH(M$62-$C71+1,$D$40:M$40)),0)</f>
        <v>0</v>
      </c>
      <c r="N71" s="27">
        <f>IF(N$62&gt;=$C71,INDEX($D49:N49,1,MATCH(N$62-$C71+1,$D$40:N$40)),0)</f>
        <v>0</v>
      </c>
      <c r="O71" s="27">
        <f>IF(O$62&gt;=$C71,INDEX($D49:O49,1,MATCH(O$62-$C71+1,$D$40:O$40)),0)</f>
        <v>0</v>
      </c>
      <c r="P71" s="27">
        <f>IF(P$62&gt;=$C71,INDEX($D49:P49,1,MATCH(P$62-$C71+1,$D$40:P$40)),0)</f>
        <v>0</v>
      </c>
      <c r="Q71" s="27">
        <f>IF(Q$62&gt;=$C71,INDEX($D49:Q49,1,MATCH(Q$62-$C71+1,$D$40:Q$40)),0)</f>
        <v>0</v>
      </c>
      <c r="R71" s="27">
        <f>IF(R$62&gt;=$C71,INDEX($D49:R49,1,MATCH(R$62-$C71+1,$D$40:R$40)),0)</f>
        <v>0</v>
      </c>
      <c r="S71" s="27">
        <f>IF(S$62&gt;=$C71,INDEX($D49:S49,1,MATCH(S$62-$C71+1,$D$40:S$40)),0)</f>
        <v>4</v>
      </c>
      <c r="T71" s="27">
        <f>IF(T$62&gt;=$C71,INDEX($D49:T49,1,MATCH(T$62-$C71+1,$D$40:T$40)),0)</f>
        <v>0</v>
      </c>
      <c r="U71" s="27">
        <f>IF(U$62&gt;=$C71,INDEX($D49:U49,1,MATCH(U$62-$C71+1,$D$40:U$40)),0)</f>
        <v>0</v>
      </c>
      <c r="V71" s="27">
        <f>IF(V$62&gt;=$C71,INDEX($D49:V49,1,MATCH(V$62-$C71+1,$D$40:V$40)),0)</f>
        <v>0</v>
      </c>
      <c r="W71" s="27">
        <f>IF(W$62&gt;=$C71,INDEX($D49:W49,1,MATCH(W$62-$C71+1,$D$40:W$40)),0)</f>
        <v>0</v>
      </c>
      <c r="Z71" s="27">
        <v>0</v>
      </c>
      <c r="AA71" s="27">
        <f>IF(AA$62&gt;=$C71,INDEX($Z49:AA49,1,MATCH(AA$62-$C71+1,$Z$40:AA$40)),0)</f>
        <v>0</v>
      </c>
      <c r="AB71" s="27">
        <f>IF(AB$62&gt;=$C71,INDEX($Z49:AB49,1,MATCH(AB$62-$C71+1,$Z$40:AB$40)),0)</f>
        <v>0</v>
      </c>
      <c r="AC71" s="27">
        <f>IF(AC$62&gt;=$C71,INDEX($Z49:AC49,1,MATCH(AC$62-$C71+1,$Z$40:AC$40)),0)</f>
        <v>0</v>
      </c>
      <c r="AD71" s="27">
        <f>IF(AD$62&gt;=$C71,INDEX($Z49:AD49,1,MATCH(AD$62-$C71+1,$Z$40:AD$40)),0)</f>
        <v>0</v>
      </c>
      <c r="AE71" s="27">
        <f>IF(AE$62&gt;=$C71,INDEX($Z49:AE49,1,MATCH(AE$62-$C71+1,$Z$40:AE$40)),0)</f>
        <v>0</v>
      </c>
      <c r="AF71" s="27">
        <f>IF(AF$62&gt;=$C71,INDEX($Z49:AF49,1,MATCH(AF$62-$C71+1,$Z$40:AF$40)),0)</f>
        <v>0</v>
      </c>
      <c r="AG71" s="27">
        <f>IF(AG$62&gt;=$C71,INDEX($Z49:AG49,1,MATCH(AG$62-$C71+1,$Z$40:AG$40)),0)</f>
        <v>2</v>
      </c>
      <c r="AH71" s="27">
        <f>IF(AH$62&gt;=$C71,INDEX($Z49:AH49,1,MATCH(AH$62-$C71+1,$Z$40:AH$40)),0)</f>
        <v>0</v>
      </c>
      <c r="AI71" s="27">
        <f>IF(AI$62&gt;=$C71,INDEX($Z49:AI49,1,MATCH(AI$62-$C71+1,$Z$40:AI$40)),0)</f>
        <v>0</v>
      </c>
      <c r="AJ71" s="27">
        <f>IF(AJ$62&gt;=$C71,INDEX($Z49:AJ49,1,MATCH(AJ$62-$C71+1,$Z$40:AJ$40)),0)</f>
        <v>0</v>
      </c>
      <c r="AK71" s="27">
        <f>IF(AK$62&gt;=$C71,INDEX($Z49:AK49,1,MATCH(AK$62-$C71+1,$Z$40:AK$40)),0)</f>
        <v>0</v>
      </c>
      <c r="AL71" s="27">
        <f>IF(AL$62&gt;=$C71,INDEX($Z49:AL49,1,MATCH(AL$62-$C71+1,$Z$40:AL$40)),0)</f>
        <v>0</v>
      </c>
      <c r="AM71" s="27">
        <f>IF(AM$62&gt;=$C71,INDEX($Z49:AM49,1,MATCH(AM$62-$C71+1,$Z$40:AM$40)),0)</f>
        <v>0</v>
      </c>
      <c r="AN71" s="27">
        <f>IF(AN$62&gt;=$C71,INDEX($Z49:AN49,1,MATCH(AN$62-$C71+1,$Z$40:AN$40)),0)</f>
        <v>0</v>
      </c>
      <c r="AO71" s="27">
        <f>IF(AO$62&gt;=$C71,INDEX($Z49:AO49,1,MATCH(AO$62-$C71+1,$Z$40:AO$40)),0)</f>
        <v>2</v>
      </c>
      <c r="AP71" s="27">
        <f>IF(AP$62&gt;=$C71,INDEX($Z49:AP49,1,MATCH(AP$62-$C71+1,$Z$40:AP$40)),0)</f>
        <v>0</v>
      </c>
      <c r="AQ71" s="27">
        <f>IF(AQ$62&gt;=$C71,INDEX($Z49:AQ49,1,MATCH(AQ$62-$C71+1,$Z$40:AQ$40)),0)</f>
        <v>0</v>
      </c>
      <c r="AR71" s="27">
        <f>IF(AR$62&gt;=$C71,INDEX($Z49:AR49,1,MATCH(AR$62-$C71+1,$Z$40:AR$40)),0)</f>
        <v>0</v>
      </c>
      <c r="AS71" s="27">
        <f>IF(AS$62&gt;=$C71,INDEX($Z49:AS49,1,MATCH(AS$62-$C71+1,$Z$40:AS$40)),0)</f>
        <v>0</v>
      </c>
    </row>
    <row r="72" spans="1:49" x14ac:dyDescent="0.25">
      <c r="A72" s="7" t="str">
        <v>Serving - Call session control function hardware</v>
      </c>
      <c r="C72" s="10">
        <v>8</v>
      </c>
      <c r="D72" s="74">
        <v>0</v>
      </c>
      <c r="E72" s="27">
        <f>IF(E$62&gt;=$C72,INDEX($D50:E50,1,MATCH(E$62-$C72+1,$D$40:E$40)),0)</f>
        <v>0</v>
      </c>
      <c r="F72" s="27">
        <f>IF(F$62&gt;=$C72,INDEX($D50:F50,1,MATCH(F$62-$C72+1,$D$40:F$40)),0)</f>
        <v>0</v>
      </c>
      <c r="G72" s="27">
        <f>IF(G$62&gt;=$C72,INDEX($D50:G50,1,MATCH(G$62-$C72+1,$D$40:G$40)),0)</f>
        <v>0</v>
      </c>
      <c r="H72" s="27">
        <f>IF(H$62&gt;=$C72,INDEX($D50:H50,1,MATCH(H$62-$C72+1,$D$40:H$40)),0)</f>
        <v>0</v>
      </c>
      <c r="I72" s="27">
        <f>IF(I$62&gt;=$C72,INDEX($D50:I50,1,MATCH(I$62-$C72+1,$D$40:I$40)),0)</f>
        <v>0</v>
      </c>
      <c r="J72" s="27">
        <f>IF(J$62&gt;=$C72,INDEX($D50:J50,1,MATCH(J$62-$C72+1,$D$40:J$40)),0)</f>
        <v>0</v>
      </c>
      <c r="K72" s="27">
        <f>IF(K$62&gt;=$C72,INDEX($D50:K50,1,MATCH(K$62-$C72+1,$D$40:K$40)),0)</f>
        <v>4</v>
      </c>
      <c r="L72" s="27">
        <f>IF(L$62&gt;=$C72,INDEX($D50:L50,1,MATCH(L$62-$C72+1,$D$40:L$40)),0)</f>
        <v>0</v>
      </c>
      <c r="M72" s="27">
        <f>IF(M$62&gt;=$C72,INDEX($D50:M50,1,MATCH(M$62-$C72+1,$D$40:M$40)),0)</f>
        <v>0</v>
      </c>
      <c r="N72" s="27">
        <f>IF(N$62&gt;=$C72,INDEX($D50:N50,1,MATCH(N$62-$C72+1,$D$40:N$40)),0)</f>
        <v>0</v>
      </c>
      <c r="O72" s="27">
        <f>IF(O$62&gt;=$C72,INDEX($D50:O50,1,MATCH(O$62-$C72+1,$D$40:O$40)),0)</f>
        <v>0</v>
      </c>
      <c r="P72" s="27">
        <f>IF(P$62&gt;=$C72,INDEX($D50:P50,1,MATCH(P$62-$C72+1,$D$40:P$40)),0)</f>
        <v>0</v>
      </c>
      <c r="Q72" s="27">
        <f>IF(Q$62&gt;=$C72,INDEX($D50:Q50,1,MATCH(Q$62-$C72+1,$D$40:Q$40)),0)</f>
        <v>0</v>
      </c>
      <c r="R72" s="27">
        <f>IF(R$62&gt;=$C72,INDEX($D50:R50,1,MATCH(R$62-$C72+1,$D$40:R$40)),0)</f>
        <v>0</v>
      </c>
      <c r="S72" s="27">
        <f>IF(S$62&gt;=$C72,INDEX($D50:S50,1,MATCH(S$62-$C72+1,$D$40:S$40)),0)</f>
        <v>4</v>
      </c>
      <c r="T72" s="27">
        <f>IF(T$62&gt;=$C72,INDEX($D50:T50,1,MATCH(T$62-$C72+1,$D$40:T$40)),0)</f>
        <v>0</v>
      </c>
      <c r="U72" s="27">
        <f>IF(U$62&gt;=$C72,INDEX($D50:U50,1,MATCH(U$62-$C72+1,$D$40:U$40)),0)</f>
        <v>0</v>
      </c>
      <c r="V72" s="27">
        <f>IF(V$62&gt;=$C72,INDEX($D50:V50,1,MATCH(V$62-$C72+1,$D$40:V$40)),0)</f>
        <v>0</v>
      </c>
      <c r="W72" s="27">
        <f>IF(W$62&gt;=$C72,INDEX($D50:W50,1,MATCH(W$62-$C72+1,$D$40:W$40)),0)</f>
        <v>0</v>
      </c>
      <c r="Z72" s="27">
        <v>0</v>
      </c>
      <c r="AA72" s="27">
        <f>IF(AA$62&gt;=$C72,INDEX($Z50:AA50,1,MATCH(AA$62-$C72+1,$Z$40:AA$40)),0)</f>
        <v>0</v>
      </c>
      <c r="AB72" s="27">
        <f>IF(AB$62&gt;=$C72,INDEX($Z50:AB50,1,MATCH(AB$62-$C72+1,$Z$40:AB$40)),0)</f>
        <v>0</v>
      </c>
      <c r="AC72" s="27">
        <f>IF(AC$62&gt;=$C72,INDEX($Z50:AC50,1,MATCH(AC$62-$C72+1,$Z$40:AC$40)),0)</f>
        <v>0</v>
      </c>
      <c r="AD72" s="27">
        <f>IF(AD$62&gt;=$C72,INDEX($Z50:AD50,1,MATCH(AD$62-$C72+1,$Z$40:AD$40)),0)</f>
        <v>0</v>
      </c>
      <c r="AE72" s="27">
        <f>IF(AE$62&gt;=$C72,INDEX($Z50:AE50,1,MATCH(AE$62-$C72+1,$Z$40:AE$40)),0)</f>
        <v>0</v>
      </c>
      <c r="AF72" s="27">
        <f>IF(AF$62&gt;=$C72,INDEX($Z50:AF50,1,MATCH(AF$62-$C72+1,$Z$40:AF$40)),0)</f>
        <v>0</v>
      </c>
      <c r="AG72" s="27">
        <f>IF(AG$62&gt;=$C72,INDEX($Z50:AG50,1,MATCH(AG$62-$C72+1,$Z$40:AG$40)),0)</f>
        <v>2</v>
      </c>
      <c r="AH72" s="27">
        <f>IF(AH$62&gt;=$C72,INDEX($Z50:AH50,1,MATCH(AH$62-$C72+1,$Z$40:AH$40)),0)</f>
        <v>0</v>
      </c>
      <c r="AI72" s="27">
        <f>IF(AI$62&gt;=$C72,INDEX($Z50:AI50,1,MATCH(AI$62-$C72+1,$Z$40:AI$40)),0)</f>
        <v>0</v>
      </c>
      <c r="AJ72" s="27">
        <f>IF(AJ$62&gt;=$C72,INDEX($Z50:AJ50,1,MATCH(AJ$62-$C72+1,$Z$40:AJ$40)),0)</f>
        <v>0</v>
      </c>
      <c r="AK72" s="27">
        <f>IF(AK$62&gt;=$C72,INDEX($Z50:AK50,1,MATCH(AK$62-$C72+1,$Z$40:AK$40)),0)</f>
        <v>0</v>
      </c>
      <c r="AL72" s="27">
        <f>IF(AL$62&gt;=$C72,INDEX($Z50:AL50,1,MATCH(AL$62-$C72+1,$Z$40:AL$40)),0)</f>
        <v>0</v>
      </c>
      <c r="AM72" s="27">
        <f>IF(AM$62&gt;=$C72,INDEX($Z50:AM50,1,MATCH(AM$62-$C72+1,$Z$40:AM$40)),0)</f>
        <v>0</v>
      </c>
      <c r="AN72" s="27">
        <f>IF(AN$62&gt;=$C72,INDEX($Z50:AN50,1,MATCH(AN$62-$C72+1,$Z$40:AN$40)),0)</f>
        <v>0</v>
      </c>
      <c r="AO72" s="27">
        <f>IF(AO$62&gt;=$C72,INDEX($Z50:AO50,1,MATCH(AO$62-$C72+1,$Z$40:AO$40)),0)</f>
        <v>2</v>
      </c>
      <c r="AP72" s="27">
        <f>IF(AP$62&gt;=$C72,INDEX($Z50:AP50,1,MATCH(AP$62-$C72+1,$Z$40:AP$40)),0)</f>
        <v>0</v>
      </c>
      <c r="AQ72" s="27">
        <f>IF(AQ$62&gt;=$C72,INDEX($Z50:AQ50,1,MATCH(AQ$62-$C72+1,$Z$40:AQ$40)),0)</f>
        <v>0</v>
      </c>
      <c r="AR72" s="27">
        <f>IF(AR$62&gt;=$C72,INDEX($Z50:AR50,1,MATCH(AR$62-$C72+1,$Z$40:AR$40)),0)</f>
        <v>0</v>
      </c>
      <c r="AS72" s="27">
        <f>IF(AS$62&gt;=$C72,INDEX($Z50:AS50,1,MATCH(AS$62-$C72+1,$Z$40:AS$40)),0)</f>
        <v>0</v>
      </c>
    </row>
    <row r="73" spans="1:49" x14ac:dyDescent="0.25">
      <c r="A73" s="7" t="str">
        <v>Serving - Call session control function software</v>
      </c>
      <c r="C73" s="10">
        <v>8</v>
      </c>
      <c r="D73" s="74">
        <v>0</v>
      </c>
      <c r="E73" s="27">
        <f>IF(E$62&gt;=$C73,INDEX($D51:E51,1,MATCH(E$62-$C73+1,$D$40:E$40)),0)</f>
        <v>0</v>
      </c>
      <c r="F73" s="27">
        <f>IF(F$62&gt;=$C73,INDEX($D51:F51,1,MATCH(F$62-$C73+1,$D$40:F$40)),0)</f>
        <v>0</v>
      </c>
      <c r="G73" s="27">
        <f>IF(G$62&gt;=$C73,INDEX($D51:G51,1,MATCH(G$62-$C73+1,$D$40:G$40)),0)</f>
        <v>0</v>
      </c>
      <c r="H73" s="27">
        <f>IF(H$62&gt;=$C73,INDEX($D51:H51,1,MATCH(H$62-$C73+1,$D$40:H$40)),0)</f>
        <v>0</v>
      </c>
      <c r="I73" s="27">
        <f>IF(I$62&gt;=$C73,INDEX($D51:I51,1,MATCH(I$62-$C73+1,$D$40:I$40)),0)</f>
        <v>0</v>
      </c>
      <c r="J73" s="27">
        <f>IF(J$62&gt;=$C73,INDEX($D51:J51,1,MATCH(J$62-$C73+1,$D$40:J$40)),0)</f>
        <v>0</v>
      </c>
      <c r="K73" s="27">
        <f>IF(K$62&gt;=$C73,INDEX($D51:K51,1,MATCH(K$62-$C73+1,$D$40:K$40)),0)</f>
        <v>4</v>
      </c>
      <c r="L73" s="27">
        <f>IF(L$62&gt;=$C73,INDEX($D51:L51,1,MATCH(L$62-$C73+1,$D$40:L$40)),0)</f>
        <v>0</v>
      </c>
      <c r="M73" s="27">
        <f>IF(M$62&gt;=$C73,INDEX($D51:M51,1,MATCH(M$62-$C73+1,$D$40:M$40)),0)</f>
        <v>0</v>
      </c>
      <c r="N73" s="27">
        <f>IF(N$62&gt;=$C73,INDEX($D51:N51,1,MATCH(N$62-$C73+1,$D$40:N$40)),0)</f>
        <v>0</v>
      </c>
      <c r="O73" s="27">
        <f>IF(O$62&gt;=$C73,INDEX($D51:O51,1,MATCH(O$62-$C73+1,$D$40:O$40)),0)</f>
        <v>0</v>
      </c>
      <c r="P73" s="27">
        <f>IF(P$62&gt;=$C73,INDEX($D51:P51,1,MATCH(P$62-$C73+1,$D$40:P$40)),0)</f>
        <v>0</v>
      </c>
      <c r="Q73" s="27">
        <f>IF(Q$62&gt;=$C73,INDEX($D51:Q51,1,MATCH(Q$62-$C73+1,$D$40:Q$40)),0)</f>
        <v>0</v>
      </c>
      <c r="R73" s="27">
        <f>IF(R$62&gt;=$C73,INDEX($D51:R51,1,MATCH(R$62-$C73+1,$D$40:R$40)),0)</f>
        <v>0</v>
      </c>
      <c r="S73" s="27">
        <f>IF(S$62&gt;=$C73,INDEX($D51:S51,1,MATCH(S$62-$C73+1,$D$40:S$40)),0)</f>
        <v>4</v>
      </c>
      <c r="T73" s="27">
        <f>IF(T$62&gt;=$C73,INDEX($D51:T51,1,MATCH(T$62-$C73+1,$D$40:T$40)),0)</f>
        <v>0</v>
      </c>
      <c r="U73" s="27">
        <f>IF(U$62&gt;=$C73,INDEX($D51:U51,1,MATCH(U$62-$C73+1,$D$40:U$40)),0)</f>
        <v>0</v>
      </c>
      <c r="V73" s="27">
        <f>IF(V$62&gt;=$C73,INDEX($D51:V51,1,MATCH(V$62-$C73+1,$D$40:V$40)),0)</f>
        <v>0</v>
      </c>
      <c r="W73" s="27">
        <f>IF(W$62&gt;=$C73,INDEX($D51:W51,1,MATCH(W$62-$C73+1,$D$40:W$40)),0)</f>
        <v>0</v>
      </c>
      <c r="Z73" s="27">
        <v>0</v>
      </c>
      <c r="AA73" s="27">
        <f>IF(AA$62&gt;=$C73,INDEX($Z51:AA51,1,MATCH(AA$62-$C73+1,$Z$40:AA$40)),0)</f>
        <v>0</v>
      </c>
      <c r="AB73" s="27">
        <f>IF(AB$62&gt;=$C73,INDEX($Z51:AB51,1,MATCH(AB$62-$C73+1,$Z$40:AB$40)),0)</f>
        <v>0</v>
      </c>
      <c r="AC73" s="27">
        <f>IF(AC$62&gt;=$C73,INDEX($Z51:AC51,1,MATCH(AC$62-$C73+1,$Z$40:AC$40)),0)</f>
        <v>0</v>
      </c>
      <c r="AD73" s="27">
        <f>IF(AD$62&gt;=$C73,INDEX($Z51:AD51,1,MATCH(AD$62-$C73+1,$Z$40:AD$40)),0)</f>
        <v>0</v>
      </c>
      <c r="AE73" s="27">
        <f>IF(AE$62&gt;=$C73,INDEX($Z51:AE51,1,MATCH(AE$62-$C73+1,$Z$40:AE$40)),0)</f>
        <v>0</v>
      </c>
      <c r="AF73" s="27">
        <f>IF(AF$62&gt;=$C73,INDEX($Z51:AF51,1,MATCH(AF$62-$C73+1,$Z$40:AF$40)),0)</f>
        <v>0</v>
      </c>
      <c r="AG73" s="27">
        <f>IF(AG$62&gt;=$C73,INDEX($Z51:AG51,1,MATCH(AG$62-$C73+1,$Z$40:AG$40)),0)</f>
        <v>2</v>
      </c>
      <c r="AH73" s="27">
        <f>IF(AH$62&gt;=$C73,INDEX($Z51:AH51,1,MATCH(AH$62-$C73+1,$Z$40:AH$40)),0)</f>
        <v>0</v>
      </c>
      <c r="AI73" s="27">
        <f>IF(AI$62&gt;=$C73,INDEX($Z51:AI51,1,MATCH(AI$62-$C73+1,$Z$40:AI$40)),0)</f>
        <v>0</v>
      </c>
      <c r="AJ73" s="27">
        <f>IF(AJ$62&gt;=$C73,INDEX($Z51:AJ51,1,MATCH(AJ$62-$C73+1,$Z$40:AJ$40)),0)</f>
        <v>0</v>
      </c>
      <c r="AK73" s="27">
        <f>IF(AK$62&gt;=$C73,INDEX($Z51:AK51,1,MATCH(AK$62-$C73+1,$Z$40:AK$40)),0)</f>
        <v>0</v>
      </c>
      <c r="AL73" s="27">
        <f>IF(AL$62&gt;=$C73,INDEX($Z51:AL51,1,MATCH(AL$62-$C73+1,$Z$40:AL$40)),0)</f>
        <v>0</v>
      </c>
      <c r="AM73" s="27">
        <f>IF(AM$62&gt;=$C73,INDEX($Z51:AM51,1,MATCH(AM$62-$C73+1,$Z$40:AM$40)),0)</f>
        <v>0</v>
      </c>
      <c r="AN73" s="27">
        <f>IF(AN$62&gt;=$C73,INDEX($Z51:AN51,1,MATCH(AN$62-$C73+1,$Z$40:AN$40)),0)</f>
        <v>0</v>
      </c>
      <c r="AO73" s="27">
        <f>IF(AO$62&gt;=$C73,INDEX($Z51:AO51,1,MATCH(AO$62-$C73+1,$Z$40:AO$40)),0)</f>
        <v>2</v>
      </c>
      <c r="AP73" s="27">
        <f>IF(AP$62&gt;=$C73,INDEX($Z51:AP51,1,MATCH(AP$62-$C73+1,$Z$40:AP$40)),0)</f>
        <v>0</v>
      </c>
      <c r="AQ73" s="27">
        <f>IF(AQ$62&gt;=$C73,INDEX($Z51:AQ51,1,MATCH(AQ$62-$C73+1,$Z$40:AQ$40)),0)</f>
        <v>0</v>
      </c>
      <c r="AR73" s="27">
        <f>IF(AR$62&gt;=$C73,INDEX($Z51:AR51,1,MATCH(AR$62-$C73+1,$Z$40:AR$40)),0)</f>
        <v>0</v>
      </c>
      <c r="AS73" s="27">
        <f>IF(AS$62&gt;=$C73,INDEX($Z51:AS51,1,MATCH(AS$62-$C73+1,$Z$40:AS$40)),0)</f>
        <v>0</v>
      </c>
    </row>
    <row r="74" spans="1:49" x14ac:dyDescent="0.25">
      <c r="A74" s="7" t="str">
        <v>Media resource function - hardware</v>
      </c>
      <c r="C74" s="10">
        <v>8</v>
      </c>
      <c r="D74" s="74">
        <v>0</v>
      </c>
      <c r="E74" s="27">
        <f>IF(E$62&gt;=$C74,INDEX($D52:E52,1,MATCH(E$62-$C74+1,$D$40:E$40)),0)</f>
        <v>0</v>
      </c>
      <c r="F74" s="27">
        <f>IF(F$62&gt;=$C74,INDEX($D52:F52,1,MATCH(F$62-$C74+1,$D$40:F$40)),0)</f>
        <v>0</v>
      </c>
      <c r="G74" s="27">
        <f>IF(G$62&gt;=$C74,INDEX($D52:G52,1,MATCH(G$62-$C74+1,$D$40:G$40)),0)</f>
        <v>0</v>
      </c>
      <c r="H74" s="27">
        <f>IF(H$62&gt;=$C74,INDEX($D52:H52,1,MATCH(H$62-$C74+1,$D$40:H$40)),0)</f>
        <v>0</v>
      </c>
      <c r="I74" s="27">
        <f>IF(I$62&gt;=$C74,INDEX($D52:I52,1,MATCH(I$62-$C74+1,$D$40:I$40)),0)</f>
        <v>0</v>
      </c>
      <c r="J74" s="27">
        <f>IF(J$62&gt;=$C74,INDEX($D52:J52,1,MATCH(J$62-$C74+1,$D$40:J$40)),0)</f>
        <v>0</v>
      </c>
      <c r="K74" s="27">
        <f>IF(K$62&gt;=$C74,INDEX($D52:K52,1,MATCH(K$62-$C74+1,$D$40:K$40)),0)</f>
        <v>492</v>
      </c>
      <c r="L74" s="27">
        <f>IF(L$62&gt;=$C74,INDEX($D52:L52,1,MATCH(L$62-$C74+1,$D$40:L$40)),0)</f>
        <v>10</v>
      </c>
      <c r="M74" s="27">
        <f>IF(M$62&gt;=$C74,INDEX($D52:M52,1,MATCH(M$62-$C74+1,$D$40:M$40)),0)</f>
        <v>22</v>
      </c>
      <c r="N74" s="27">
        <f>IF(N$62&gt;=$C74,INDEX($D52:N52,1,MATCH(N$62-$C74+1,$D$40:N$40)),0)</f>
        <v>0</v>
      </c>
      <c r="O74" s="27">
        <f>IF(O$62&gt;=$C74,INDEX($D52:O52,1,MATCH(O$62-$C74+1,$D$40:O$40)),0)</f>
        <v>0</v>
      </c>
      <c r="P74" s="27">
        <f>IF(P$62&gt;=$C74,INDEX($D52:P52,1,MATCH(P$62-$C74+1,$D$40:P$40)),0)</f>
        <v>0</v>
      </c>
      <c r="Q74" s="27">
        <f>IF(Q$62&gt;=$C74,INDEX($D52:Q52,1,MATCH(Q$62-$C74+1,$D$40:Q$40)),0)</f>
        <v>0</v>
      </c>
      <c r="R74" s="27">
        <f>IF(R$62&gt;=$C74,INDEX($D52:R52,1,MATCH(R$62-$C74+1,$D$40:R$40)),0)</f>
        <v>0</v>
      </c>
      <c r="S74" s="27">
        <f>IF(S$62&gt;=$C74,INDEX($D52:S52,1,MATCH(S$62-$C74+1,$D$40:S$40)),0)</f>
        <v>490</v>
      </c>
      <c r="T74" s="27">
        <f>IF(T$62&gt;=$C74,INDEX($D52:T52,1,MATCH(T$62-$C74+1,$D$40:T$40)),0)</f>
        <v>12</v>
      </c>
      <c r="U74" s="27">
        <f>IF(U$62&gt;=$C74,INDEX($D52:U52,1,MATCH(U$62-$C74+1,$D$40:U$40)),0)</f>
        <v>24</v>
      </c>
      <c r="V74" s="27">
        <f>IF(V$62&gt;=$C74,INDEX($D52:V52,1,MATCH(V$62-$C74+1,$D$40:V$40)),0)</f>
        <v>2</v>
      </c>
      <c r="W74" s="27">
        <f>IF(W$62&gt;=$C74,INDEX($D52:W52,1,MATCH(W$62-$C74+1,$D$40:W$40)),0)</f>
        <v>4</v>
      </c>
      <c r="Z74" s="27">
        <v>0</v>
      </c>
      <c r="AA74" s="27">
        <f>IF(AA$62&gt;=$C74,INDEX($Z52:AA52,1,MATCH(AA$62-$C74+1,$Z$40:AA$40)),0)</f>
        <v>0</v>
      </c>
      <c r="AB74" s="27">
        <f>IF(AB$62&gt;=$C74,INDEX($Z52:AB52,1,MATCH(AB$62-$C74+1,$Z$40:AB$40)),0)</f>
        <v>0</v>
      </c>
      <c r="AC74" s="27">
        <f>IF(AC$62&gt;=$C74,INDEX($Z52:AC52,1,MATCH(AC$62-$C74+1,$Z$40:AC$40)),0)</f>
        <v>0</v>
      </c>
      <c r="AD74" s="27">
        <f>IF(AD$62&gt;=$C74,INDEX($Z52:AD52,1,MATCH(AD$62-$C74+1,$Z$40:AD$40)),0)</f>
        <v>0</v>
      </c>
      <c r="AE74" s="27">
        <f>IF(AE$62&gt;=$C74,INDEX($Z52:AE52,1,MATCH(AE$62-$C74+1,$Z$40:AE$40)),0)</f>
        <v>0</v>
      </c>
      <c r="AF74" s="27">
        <f>IF(AF$62&gt;=$C74,INDEX($Z52:AF52,1,MATCH(AF$62-$C74+1,$Z$40:AF$40)),0)</f>
        <v>0</v>
      </c>
      <c r="AG74" s="27">
        <f>IF(AG$62&gt;=$C74,INDEX($Z52:AG52,1,MATCH(AG$62-$C74+1,$Z$40:AG$40)),0)</f>
        <v>230</v>
      </c>
      <c r="AH74" s="27">
        <f>IF(AH$62&gt;=$C74,INDEX($Z52:AH52,1,MATCH(AH$62-$C74+1,$Z$40:AH$40)),0)</f>
        <v>0</v>
      </c>
      <c r="AI74" s="27">
        <f>IF(AI$62&gt;=$C74,INDEX($Z52:AI52,1,MATCH(AI$62-$C74+1,$Z$40:AI$40)),0)</f>
        <v>0</v>
      </c>
      <c r="AJ74" s="27">
        <f>IF(AJ$62&gt;=$C74,INDEX($Z52:AJ52,1,MATCH(AJ$62-$C74+1,$Z$40:AJ$40)),0)</f>
        <v>0</v>
      </c>
      <c r="AK74" s="27">
        <f>IF(AK$62&gt;=$C74,INDEX($Z52:AK52,1,MATCH(AK$62-$C74+1,$Z$40:AK$40)),0)</f>
        <v>0</v>
      </c>
      <c r="AL74" s="27">
        <f>IF(AL$62&gt;=$C74,INDEX($Z52:AL52,1,MATCH(AL$62-$C74+1,$Z$40:AL$40)),0)</f>
        <v>0</v>
      </c>
      <c r="AM74" s="27">
        <f>IF(AM$62&gt;=$C74,INDEX($Z52:AM52,1,MATCH(AM$62-$C74+1,$Z$40:AM$40)),0)</f>
        <v>0</v>
      </c>
      <c r="AN74" s="27">
        <f>IF(AN$62&gt;=$C74,INDEX($Z52:AN52,1,MATCH(AN$62-$C74+1,$Z$40:AN$40)),0)</f>
        <v>0</v>
      </c>
      <c r="AO74" s="27">
        <f>IF(AO$62&gt;=$C74,INDEX($Z52:AO52,1,MATCH(AO$62-$C74+1,$Z$40:AO$40)),0)</f>
        <v>200</v>
      </c>
      <c r="AP74" s="27">
        <f>IF(AP$62&gt;=$C74,INDEX($Z52:AP52,1,MATCH(AP$62-$C74+1,$Z$40:AP$40)),0)</f>
        <v>0</v>
      </c>
      <c r="AQ74" s="27">
        <f>IF(AQ$62&gt;=$C74,INDEX($Z52:AQ52,1,MATCH(AQ$62-$C74+1,$Z$40:AQ$40)),0)</f>
        <v>2</v>
      </c>
      <c r="AR74" s="27">
        <f>IF(AR$62&gt;=$C74,INDEX($Z52:AR52,1,MATCH(AR$62-$C74+1,$Z$40:AR$40)),0)</f>
        <v>0</v>
      </c>
      <c r="AS74" s="27">
        <f>IF(AS$62&gt;=$C74,INDEX($Z52:AS52,1,MATCH(AS$62-$C74+1,$Z$40:AS$40)),0)</f>
        <v>2</v>
      </c>
    </row>
    <row r="75" spans="1:49" x14ac:dyDescent="0.25">
      <c r="A75" s="7" t="str">
        <v>Media resource function - software</v>
      </c>
      <c r="C75" s="10">
        <v>8</v>
      </c>
      <c r="D75" s="74">
        <v>0</v>
      </c>
      <c r="E75" s="27">
        <f>IF(E$62&gt;=$C75,INDEX($D53:E53,1,MATCH(E$62-$C75+1,$D$40:E$40)),0)</f>
        <v>0</v>
      </c>
      <c r="F75" s="27">
        <f>IF(F$62&gt;=$C75,INDEX($D53:F53,1,MATCH(F$62-$C75+1,$D$40:F$40)),0)</f>
        <v>0</v>
      </c>
      <c r="G75" s="27">
        <f>IF(G$62&gt;=$C75,INDEX($D53:G53,1,MATCH(G$62-$C75+1,$D$40:G$40)),0)</f>
        <v>0</v>
      </c>
      <c r="H75" s="27">
        <f>IF(H$62&gt;=$C75,INDEX($D53:H53,1,MATCH(H$62-$C75+1,$D$40:H$40)),0)</f>
        <v>0</v>
      </c>
      <c r="I75" s="27">
        <f>IF(I$62&gt;=$C75,INDEX($D53:I53,1,MATCH(I$62-$C75+1,$D$40:I$40)),0)</f>
        <v>0</v>
      </c>
      <c r="J75" s="27">
        <f>IF(J$62&gt;=$C75,INDEX($D53:J53,1,MATCH(J$62-$C75+1,$D$40:J$40)),0)</f>
        <v>0</v>
      </c>
      <c r="K75" s="27">
        <f>IF(K$62&gt;=$C75,INDEX($D53:K53,1,MATCH(K$62-$C75+1,$D$40:K$40)),0)</f>
        <v>564</v>
      </c>
      <c r="L75" s="27">
        <f>IF(L$62&gt;=$C75,INDEX($D53:L53,1,MATCH(L$62-$C75+1,$D$40:L$40)),0)</f>
        <v>8</v>
      </c>
      <c r="M75" s="27">
        <f>IF(M$62&gt;=$C75,INDEX($D53:M53,1,MATCH(M$62-$C75+1,$D$40:M$40)),0)</f>
        <v>28</v>
      </c>
      <c r="N75" s="27">
        <f>IF(N$62&gt;=$C75,INDEX($D53:N53,1,MATCH(N$62-$C75+1,$D$40:N$40)),0)</f>
        <v>0</v>
      </c>
      <c r="O75" s="27">
        <f>IF(O$62&gt;=$C75,INDEX($D53:O53,1,MATCH(O$62-$C75+1,$D$40:O$40)),0)</f>
        <v>0</v>
      </c>
      <c r="P75" s="27">
        <f>IF(P$62&gt;=$C75,INDEX($D53:P53,1,MATCH(P$62-$C75+1,$D$40:P$40)),0)</f>
        <v>0</v>
      </c>
      <c r="Q75" s="27">
        <f>IF(Q$62&gt;=$C75,INDEX($D53:Q53,1,MATCH(Q$62-$C75+1,$D$40:Q$40)),0)</f>
        <v>0</v>
      </c>
      <c r="R75" s="27">
        <f>IF(R$62&gt;=$C75,INDEX($D53:R53,1,MATCH(R$62-$C75+1,$D$40:R$40)),0)</f>
        <v>0</v>
      </c>
      <c r="S75" s="27">
        <f>IF(S$62&gt;=$C75,INDEX($D53:S53,1,MATCH(S$62-$C75+1,$D$40:S$40)),0)</f>
        <v>560</v>
      </c>
      <c r="T75" s="27">
        <f>IF(T$62&gt;=$C75,INDEX($D53:T53,1,MATCH(T$62-$C75+1,$D$40:T$40)),0)</f>
        <v>10</v>
      </c>
      <c r="U75" s="27">
        <f>IF(U$62&gt;=$C75,INDEX($D53:U53,1,MATCH(U$62-$C75+1,$D$40:U$40)),0)</f>
        <v>32</v>
      </c>
      <c r="V75" s="27">
        <f>IF(V$62&gt;=$C75,INDEX($D53:V53,1,MATCH(V$62-$C75+1,$D$40:V$40)),0)</f>
        <v>2</v>
      </c>
      <c r="W75" s="27">
        <f>IF(W$62&gt;=$C75,INDEX($D53:W53,1,MATCH(W$62-$C75+1,$D$40:W$40)),0)</f>
        <v>4</v>
      </c>
      <c r="Z75" s="27">
        <v>0</v>
      </c>
      <c r="AA75" s="27">
        <f>IF(AA$62&gt;=$C75,INDEX($Z53:AA53,1,MATCH(AA$62-$C75+1,$Z$40:AA$40)),0)</f>
        <v>0</v>
      </c>
      <c r="AB75" s="27">
        <f>IF(AB$62&gt;=$C75,INDEX($Z53:AB53,1,MATCH(AB$62-$C75+1,$Z$40:AB$40)),0)</f>
        <v>0</v>
      </c>
      <c r="AC75" s="27">
        <f>IF(AC$62&gt;=$C75,INDEX($Z53:AC53,1,MATCH(AC$62-$C75+1,$Z$40:AC$40)),0)</f>
        <v>0</v>
      </c>
      <c r="AD75" s="27">
        <f>IF(AD$62&gt;=$C75,INDEX($Z53:AD53,1,MATCH(AD$62-$C75+1,$Z$40:AD$40)),0)</f>
        <v>0</v>
      </c>
      <c r="AE75" s="27">
        <f>IF(AE$62&gt;=$C75,INDEX($Z53:AE53,1,MATCH(AE$62-$C75+1,$Z$40:AE$40)),0)</f>
        <v>0</v>
      </c>
      <c r="AF75" s="27">
        <f>IF(AF$62&gt;=$C75,INDEX($Z53:AF53,1,MATCH(AF$62-$C75+1,$Z$40:AF$40)),0)</f>
        <v>0</v>
      </c>
      <c r="AG75" s="27">
        <f>IF(AG$62&gt;=$C75,INDEX($Z53:AG53,1,MATCH(AG$62-$C75+1,$Z$40:AG$40)),0)</f>
        <v>262</v>
      </c>
      <c r="AH75" s="27">
        <f>IF(AH$62&gt;=$C75,INDEX($Z53:AH53,1,MATCH(AH$62-$C75+1,$Z$40:AH$40)),0)</f>
        <v>0</v>
      </c>
      <c r="AI75" s="27">
        <f>IF(AI$62&gt;=$C75,INDEX($Z53:AI53,1,MATCH(AI$62-$C75+1,$Z$40:AI$40)),0)</f>
        <v>0</v>
      </c>
      <c r="AJ75" s="27">
        <f>IF(AJ$62&gt;=$C75,INDEX($Z53:AJ53,1,MATCH(AJ$62-$C75+1,$Z$40:AJ$40)),0)</f>
        <v>0</v>
      </c>
      <c r="AK75" s="27">
        <f>IF(AK$62&gt;=$C75,INDEX($Z53:AK53,1,MATCH(AK$62-$C75+1,$Z$40:AK$40)),0)</f>
        <v>0</v>
      </c>
      <c r="AL75" s="27">
        <f>IF(AL$62&gt;=$C75,INDEX($Z53:AL53,1,MATCH(AL$62-$C75+1,$Z$40:AL$40)),0)</f>
        <v>0</v>
      </c>
      <c r="AM75" s="27">
        <f>IF(AM$62&gt;=$C75,INDEX($Z53:AM53,1,MATCH(AM$62-$C75+1,$Z$40:AM$40)),0)</f>
        <v>0</v>
      </c>
      <c r="AN75" s="27">
        <f>IF(AN$62&gt;=$C75,INDEX($Z53:AN53,1,MATCH(AN$62-$C75+1,$Z$40:AN$40)),0)</f>
        <v>0</v>
      </c>
      <c r="AO75" s="27">
        <f>IF(AO$62&gt;=$C75,INDEX($Z53:AO53,1,MATCH(AO$62-$C75+1,$Z$40:AO$40)),0)</f>
        <v>228</v>
      </c>
      <c r="AP75" s="27">
        <f>IF(AP$62&gt;=$C75,INDEX($Z53:AP53,1,MATCH(AP$62-$C75+1,$Z$40:AP$40)),0)</f>
        <v>2</v>
      </c>
      <c r="AQ75" s="27">
        <f>IF(AQ$62&gt;=$C75,INDEX($Z53:AQ53,1,MATCH(AQ$62-$C75+1,$Z$40:AQ$40)),0)</f>
        <v>0</v>
      </c>
      <c r="AR75" s="27">
        <f>IF(AR$62&gt;=$C75,INDEX($Z53:AR53,1,MATCH(AR$62-$C75+1,$Z$40:AR$40)),0)</f>
        <v>2</v>
      </c>
      <c r="AS75" s="27">
        <f>IF(AS$62&gt;=$C75,INDEX($Z53:AS53,1,MATCH(AS$62-$C75+1,$Z$40:AS$40)),0)</f>
        <v>0</v>
      </c>
    </row>
    <row r="76" spans="1:49" x14ac:dyDescent="0.25">
      <c r="A76" s="7" t="str">
        <v>Access session border controller - hardware</v>
      </c>
      <c r="C76" s="10">
        <v>8</v>
      </c>
      <c r="D76" s="74">
        <v>0</v>
      </c>
      <c r="E76" s="27">
        <f>IF(E$62&gt;=$C76,INDEX($D54:E54,1,MATCH(E$62-$C76+1,$D$40:E$40)),0)</f>
        <v>0</v>
      </c>
      <c r="F76" s="27">
        <f>IF(F$62&gt;=$C76,INDEX($D54:F54,1,MATCH(F$62-$C76+1,$D$40:F$40)),0)</f>
        <v>0</v>
      </c>
      <c r="G76" s="27">
        <f>IF(G$62&gt;=$C76,INDEX($D54:G54,1,MATCH(G$62-$C76+1,$D$40:G$40)),0)</f>
        <v>0</v>
      </c>
      <c r="H76" s="27">
        <f>IF(H$62&gt;=$C76,INDEX($D54:H54,1,MATCH(H$62-$C76+1,$D$40:H$40)),0)</f>
        <v>0</v>
      </c>
      <c r="I76" s="27">
        <f>IF(I$62&gt;=$C76,INDEX($D54:I54,1,MATCH(I$62-$C76+1,$D$40:I$40)),0)</f>
        <v>0</v>
      </c>
      <c r="J76" s="27">
        <f>IF(J$62&gt;=$C76,INDEX($D54:J54,1,MATCH(J$62-$C76+1,$D$40:J$40)),0)</f>
        <v>0</v>
      </c>
      <c r="K76" s="27">
        <f>IF(K$62&gt;=$C76,INDEX($D54:K54,1,MATCH(K$62-$C76+1,$D$40:K$40)),0)</f>
        <v>50</v>
      </c>
      <c r="L76" s="27">
        <f>IF(L$62&gt;=$C76,INDEX($D54:L54,1,MATCH(L$62-$C76+1,$D$40:L$40)),0)</f>
        <v>2</v>
      </c>
      <c r="M76" s="27">
        <f>IF(M$62&gt;=$C76,INDEX($D54:M54,1,MATCH(M$62-$C76+1,$D$40:M$40)),0)</f>
        <v>2</v>
      </c>
      <c r="N76" s="27">
        <f>IF(N$62&gt;=$C76,INDEX($D54:N54,1,MATCH(N$62-$C76+1,$D$40:N$40)),0)</f>
        <v>0</v>
      </c>
      <c r="O76" s="27">
        <f>IF(O$62&gt;=$C76,INDEX($D54:O54,1,MATCH(O$62-$C76+1,$D$40:O$40)),0)</f>
        <v>0</v>
      </c>
      <c r="P76" s="27">
        <f>IF(P$62&gt;=$C76,INDEX($D54:P54,1,MATCH(P$62-$C76+1,$D$40:P$40)),0)</f>
        <v>0</v>
      </c>
      <c r="Q76" s="27">
        <f>IF(Q$62&gt;=$C76,INDEX($D54:Q54,1,MATCH(Q$62-$C76+1,$D$40:Q$40)),0)</f>
        <v>0</v>
      </c>
      <c r="R76" s="27">
        <f>IF(R$62&gt;=$C76,INDEX($D54:R54,1,MATCH(R$62-$C76+1,$D$40:R$40)),0)</f>
        <v>0</v>
      </c>
      <c r="S76" s="27">
        <f>IF(S$62&gt;=$C76,INDEX($D54:S54,1,MATCH(S$62-$C76+1,$D$40:S$40)),0)</f>
        <v>50</v>
      </c>
      <c r="T76" s="27">
        <f>IF(T$62&gt;=$C76,INDEX($D54:T54,1,MATCH(T$62-$C76+1,$D$40:T$40)),0)</f>
        <v>2</v>
      </c>
      <c r="U76" s="27">
        <f>IF(U$62&gt;=$C76,INDEX($D54:U54,1,MATCH(U$62-$C76+1,$D$40:U$40)),0)</f>
        <v>2</v>
      </c>
      <c r="V76" s="27">
        <f>IF(V$62&gt;=$C76,INDEX($D54:V54,1,MATCH(V$62-$C76+1,$D$40:V$40)),0)</f>
        <v>0</v>
      </c>
      <c r="W76" s="27">
        <f>IF(W$62&gt;=$C76,INDEX($D54:W54,1,MATCH(W$62-$C76+1,$D$40:W$40)),0)</f>
        <v>0</v>
      </c>
      <c r="Z76" s="27">
        <v>0</v>
      </c>
      <c r="AA76" s="27">
        <f>IF(AA$62&gt;=$C76,INDEX($Z54:AA54,1,MATCH(AA$62-$C76+1,$Z$40:AA$40)),0)</f>
        <v>0</v>
      </c>
      <c r="AB76" s="27">
        <f>IF(AB$62&gt;=$C76,INDEX($Z54:AB54,1,MATCH(AB$62-$C76+1,$Z$40:AB$40)),0)</f>
        <v>0</v>
      </c>
      <c r="AC76" s="27">
        <f>IF(AC$62&gt;=$C76,INDEX($Z54:AC54,1,MATCH(AC$62-$C76+1,$Z$40:AC$40)),0)</f>
        <v>0</v>
      </c>
      <c r="AD76" s="27">
        <f>IF(AD$62&gt;=$C76,INDEX($Z54:AD54,1,MATCH(AD$62-$C76+1,$Z$40:AD$40)),0)</f>
        <v>0</v>
      </c>
      <c r="AE76" s="27">
        <f>IF(AE$62&gt;=$C76,INDEX($Z54:AE54,1,MATCH(AE$62-$C76+1,$Z$40:AE$40)),0)</f>
        <v>0</v>
      </c>
      <c r="AF76" s="27">
        <f>IF(AF$62&gt;=$C76,INDEX($Z54:AF54,1,MATCH(AF$62-$C76+1,$Z$40:AF$40)),0)</f>
        <v>0</v>
      </c>
      <c r="AG76" s="27">
        <f>IF(AG$62&gt;=$C76,INDEX($Z54:AG54,1,MATCH(AG$62-$C76+1,$Z$40:AG$40)),0)</f>
        <v>24</v>
      </c>
      <c r="AH76" s="27">
        <f>IF(AH$62&gt;=$C76,INDEX($Z54:AH54,1,MATCH(AH$62-$C76+1,$Z$40:AH$40)),0)</f>
        <v>0</v>
      </c>
      <c r="AI76" s="27">
        <f>IF(AI$62&gt;=$C76,INDEX($Z54:AI54,1,MATCH(AI$62-$C76+1,$Z$40:AI$40)),0)</f>
        <v>0</v>
      </c>
      <c r="AJ76" s="27">
        <f>IF(AJ$62&gt;=$C76,INDEX($Z54:AJ54,1,MATCH(AJ$62-$C76+1,$Z$40:AJ$40)),0)</f>
        <v>0</v>
      </c>
      <c r="AK76" s="27">
        <f>IF(AK$62&gt;=$C76,INDEX($Z54:AK54,1,MATCH(AK$62-$C76+1,$Z$40:AK$40)),0)</f>
        <v>0</v>
      </c>
      <c r="AL76" s="27">
        <f>IF(AL$62&gt;=$C76,INDEX($Z54:AL54,1,MATCH(AL$62-$C76+1,$Z$40:AL$40)),0)</f>
        <v>0</v>
      </c>
      <c r="AM76" s="27">
        <f>IF(AM$62&gt;=$C76,INDEX($Z54:AM54,1,MATCH(AM$62-$C76+1,$Z$40:AM$40)),0)</f>
        <v>0</v>
      </c>
      <c r="AN76" s="27">
        <f>IF(AN$62&gt;=$C76,INDEX($Z54:AN54,1,MATCH(AN$62-$C76+1,$Z$40:AN$40)),0)</f>
        <v>0</v>
      </c>
      <c r="AO76" s="27">
        <f>IF(AO$62&gt;=$C76,INDEX($Z54:AO54,1,MATCH(AO$62-$C76+1,$Z$40:AO$40)),0)</f>
        <v>20</v>
      </c>
      <c r="AP76" s="27">
        <f>IF(AP$62&gt;=$C76,INDEX($Z54:AP54,1,MATCH(AP$62-$C76+1,$Z$40:AP$40)),0)</f>
        <v>0</v>
      </c>
      <c r="AQ76" s="27">
        <f>IF(AQ$62&gt;=$C76,INDEX($Z54:AQ54,1,MATCH(AQ$62-$C76+1,$Z$40:AQ$40)),0)</f>
        <v>2</v>
      </c>
      <c r="AR76" s="27">
        <f>IF(AR$62&gt;=$C76,INDEX($Z54:AR54,1,MATCH(AR$62-$C76+1,$Z$40:AR$40)),0)</f>
        <v>0</v>
      </c>
      <c r="AS76" s="27">
        <f>IF(AS$62&gt;=$C76,INDEX($Z54:AS54,1,MATCH(AS$62-$C76+1,$Z$40:AS$40)),0)</f>
        <v>0</v>
      </c>
    </row>
    <row r="77" spans="1:49" x14ac:dyDescent="0.25">
      <c r="A77" s="7" t="str">
        <v>Access session border controller - software</v>
      </c>
      <c r="C77" s="10">
        <v>8</v>
      </c>
      <c r="D77" s="74">
        <v>0</v>
      </c>
      <c r="E77" s="27">
        <f>IF(E$62&gt;=$C77,INDEX($D55:E55,1,MATCH(E$62-$C77+1,$D$40:E$40)),0)</f>
        <v>0</v>
      </c>
      <c r="F77" s="27">
        <f>IF(F$62&gt;=$C77,INDEX($D55:F55,1,MATCH(F$62-$C77+1,$D$40:F$40)),0)</f>
        <v>0</v>
      </c>
      <c r="G77" s="27">
        <f>IF(G$62&gt;=$C77,INDEX($D55:G55,1,MATCH(G$62-$C77+1,$D$40:G$40)),0)</f>
        <v>0</v>
      </c>
      <c r="H77" s="27">
        <f>IF(H$62&gt;=$C77,INDEX($D55:H55,1,MATCH(H$62-$C77+1,$D$40:H$40)),0)</f>
        <v>0</v>
      </c>
      <c r="I77" s="27">
        <f>IF(I$62&gt;=$C77,INDEX($D55:I55,1,MATCH(I$62-$C77+1,$D$40:I$40)),0)</f>
        <v>0</v>
      </c>
      <c r="J77" s="27">
        <f>IF(J$62&gt;=$C77,INDEX($D55:J55,1,MATCH(J$62-$C77+1,$D$40:J$40)),0)</f>
        <v>0</v>
      </c>
      <c r="K77" s="27">
        <f>IF(K$62&gt;=$C77,INDEX($D55:K55,1,MATCH(K$62-$C77+1,$D$40:K$40)),0)</f>
        <v>492</v>
      </c>
      <c r="L77" s="27">
        <f>IF(L$62&gt;=$C77,INDEX($D55:L55,1,MATCH(L$62-$C77+1,$D$40:L$40)),0)</f>
        <v>10</v>
      </c>
      <c r="M77" s="27">
        <f>IF(M$62&gt;=$C77,INDEX($D55:M55,1,MATCH(M$62-$C77+1,$D$40:M$40)),0)</f>
        <v>22</v>
      </c>
      <c r="N77" s="27">
        <f>IF(N$62&gt;=$C77,INDEX($D55:N55,1,MATCH(N$62-$C77+1,$D$40:N$40)),0)</f>
        <v>0</v>
      </c>
      <c r="O77" s="27">
        <f>IF(O$62&gt;=$C77,INDEX($D55:O55,1,MATCH(O$62-$C77+1,$D$40:O$40)),0)</f>
        <v>0</v>
      </c>
      <c r="P77" s="27">
        <f>IF(P$62&gt;=$C77,INDEX($D55:P55,1,MATCH(P$62-$C77+1,$D$40:P$40)),0)</f>
        <v>0</v>
      </c>
      <c r="Q77" s="27">
        <f>IF(Q$62&gt;=$C77,INDEX($D55:Q55,1,MATCH(Q$62-$C77+1,$D$40:Q$40)),0)</f>
        <v>0</v>
      </c>
      <c r="R77" s="27">
        <f>IF(R$62&gt;=$C77,INDEX($D55:R55,1,MATCH(R$62-$C77+1,$D$40:R$40)),0)</f>
        <v>0</v>
      </c>
      <c r="S77" s="27">
        <f>IF(S$62&gt;=$C77,INDEX($D55:S55,1,MATCH(S$62-$C77+1,$D$40:S$40)),0)</f>
        <v>490</v>
      </c>
      <c r="T77" s="27">
        <f>IF(T$62&gt;=$C77,INDEX($D55:T55,1,MATCH(T$62-$C77+1,$D$40:T$40)),0)</f>
        <v>12</v>
      </c>
      <c r="U77" s="27">
        <f>IF(U$62&gt;=$C77,INDEX($D55:U55,1,MATCH(U$62-$C77+1,$D$40:U$40)),0)</f>
        <v>24</v>
      </c>
      <c r="V77" s="27">
        <f>IF(V$62&gt;=$C77,INDEX($D55:V55,1,MATCH(V$62-$C77+1,$D$40:V$40)),0)</f>
        <v>2</v>
      </c>
      <c r="W77" s="27">
        <f>IF(W$62&gt;=$C77,INDEX($D55:W55,1,MATCH(W$62-$C77+1,$D$40:W$40)),0)</f>
        <v>4</v>
      </c>
      <c r="Z77" s="27">
        <v>0</v>
      </c>
      <c r="AA77" s="27">
        <f>IF(AA$62&gt;=$C77,INDEX($Z55:AA55,1,MATCH(AA$62-$C77+1,$Z$40:AA$40)),0)</f>
        <v>0</v>
      </c>
      <c r="AB77" s="27">
        <f>IF(AB$62&gt;=$C77,INDEX($Z55:AB55,1,MATCH(AB$62-$C77+1,$Z$40:AB$40)),0)</f>
        <v>0</v>
      </c>
      <c r="AC77" s="27">
        <f>IF(AC$62&gt;=$C77,INDEX($Z55:AC55,1,MATCH(AC$62-$C77+1,$Z$40:AC$40)),0)</f>
        <v>0</v>
      </c>
      <c r="AD77" s="27">
        <f>IF(AD$62&gt;=$C77,INDEX($Z55:AD55,1,MATCH(AD$62-$C77+1,$Z$40:AD$40)),0)</f>
        <v>0</v>
      </c>
      <c r="AE77" s="27">
        <f>IF(AE$62&gt;=$C77,INDEX($Z55:AE55,1,MATCH(AE$62-$C77+1,$Z$40:AE$40)),0)</f>
        <v>0</v>
      </c>
      <c r="AF77" s="27">
        <f>IF(AF$62&gt;=$C77,INDEX($Z55:AF55,1,MATCH(AF$62-$C77+1,$Z$40:AF$40)),0)</f>
        <v>0</v>
      </c>
      <c r="AG77" s="27">
        <f>IF(AG$62&gt;=$C77,INDEX($Z55:AG55,1,MATCH(AG$62-$C77+1,$Z$40:AG$40)),0)</f>
        <v>230</v>
      </c>
      <c r="AH77" s="27">
        <f>IF(AH$62&gt;=$C77,INDEX($Z55:AH55,1,MATCH(AH$62-$C77+1,$Z$40:AH$40)),0)</f>
        <v>0</v>
      </c>
      <c r="AI77" s="27">
        <f>IF(AI$62&gt;=$C77,INDEX($Z55:AI55,1,MATCH(AI$62-$C77+1,$Z$40:AI$40)),0)</f>
        <v>0</v>
      </c>
      <c r="AJ77" s="27">
        <f>IF(AJ$62&gt;=$C77,INDEX($Z55:AJ55,1,MATCH(AJ$62-$C77+1,$Z$40:AJ$40)),0)</f>
        <v>0</v>
      </c>
      <c r="AK77" s="27">
        <f>IF(AK$62&gt;=$C77,INDEX($Z55:AK55,1,MATCH(AK$62-$C77+1,$Z$40:AK$40)),0)</f>
        <v>0</v>
      </c>
      <c r="AL77" s="27">
        <f>IF(AL$62&gt;=$C77,INDEX($Z55:AL55,1,MATCH(AL$62-$C77+1,$Z$40:AL$40)),0)</f>
        <v>0</v>
      </c>
      <c r="AM77" s="27">
        <f>IF(AM$62&gt;=$C77,INDEX($Z55:AM55,1,MATCH(AM$62-$C77+1,$Z$40:AM$40)),0)</f>
        <v>0</v>
      </c>
      <c r="AN77" s="27">
        <f>IF(AN$62&gt;=$C77,INDEX($Z55:AN55,1,MATCH(AN$62-$C77+1,$Z$40:AN$40)),0)</f>
        <v>0</v>
      </c>
      <c r="AO77" s="27">
        <f>IF(AO$62&gt;=$C77,INDEX($Z55:AO55,1,MATCH(AO$62-$C77+1,$Z$40:AO$40)),0)</f>
        <v>200</v>
      </c>
      <c r="AP77" s="27">
        <f>IF(AP$62&gt;=$C77,INDEX($Z55:AP55,1,MATCH(AP$62-$C77+1,$Z$40:AP$40)),0)</f>
        <v>0</v>
      </c>
      <c r="AQ77" s="27">
        <f>IF(AQ$62&gt;=$C77,INDEX($Z55:AQ55,1,MATCH(AQ$62-$C77+1,$Z$40:AQ$40)),0)</f>
        <v>2</v>
      </c>
      <c r="AR77" s="27">
        <f>IF(AR$62&gt;=$C77,INDEX($Z55:AR55,1,MATCH(AR$62-$C77+1,$Z$40:AR$40)),0)</f>
        <v>0</v>
      </c>
      <c r="AS77" s="27">
        <f>IF(AS$62&gt;=$C77,INDEX($Z55:AS55,1,MATCH(AS$62-$C77+1,$Z$40:AS$40)),0)</f>
        <v>2</v>
      </c>
    </row>
    <row r="78" spans="1:49" x14ac:dyDescent="0.25">
      <c r="A78" s="7" t="str">
        <v>Internet exchange point session border controller - hardware</v>
      </c>
      <c r="C78" s="10">
        <v>8</v>
      </c>
      <c r="D78" s="74">
        <v>0</v>
      </c>
      <c r="E78" s="27">
        <f>IF(E$62&gt;=$C78,INDEX($D56:E56,1,MATCH(E$62-$C78+1,$D$40:E$40)),0)</f>
        <v>0</v>
      </c>
      <c r="F78" s="27">
        <f>IF(F$62&gt;=$C78,INDEX($D56:F56,1,MATCH(F$62-$C78+1,$D$40:F$40)),0)</f>
        <v>0</v>
      </c>
      <c r="G78" s="27">
        <f>IF(G$62&gt;=$C78,INDEX($D56:G56,1,MATCH(G$62-$C78+1,$D$40:G$40)),0)</f>
        <v>0</v>
      </c>
      <c r="H78" s="27">
        <f>IF(H$62&gt;=$C78,INDEX($D56:H56,1,MATCH(H$62-$C78+1,$D$40:H$40)),0)</f>
        <v>0</v>
      </c>
      <c r="I78" s="27">
        <f>IF(I$62&gt;=$C78,INDEX($D56:I56,1,MATCH(I$62-$C78+1,$D$40:I$40)),0)</f>
        <v>0</v>
      </c>
      <c r="J78" s="27">
        <f>IF(J$62&gt;=$C78,INDEX($D56:J56,1,MATCH(J$62-$C78+1,$D$40:J$40)),0)</f>
        <v>0</v>
      </c>
      <c r="K78" s="27">
        <f>IF(K$62&gt;=$C78,INDEX($D56:K56,1,MATCH(K$62-$C78+1,$D$40:K$40)),0)</f>
        <v>42</v>
      </c>
      <c r="L78" s="27">
        <f>IF(L$62&gt;=$C78,INDEX($D56:L56,1,MATCH(L$62-$C78+1,$D$40:L$40)),0)</f>
        <v>0</v>
      </c>
      <c r="M78" s="27">
        <f>IF(M$62&gt;=$C78,INDEX($D56:M56,1,MATCH(M$62-$C78+1,$D$40:M$40)),0)</f>
        <v>4</v>
      </c>
      <c r="N78" s="27">
        <f>IF(N$62&gt;=$C78,INDEX($D56:N56,1,MATCH(N$62-$C78+1,$D$40:N$40)),0)</f>
        <v>0</v>
      </c>
      <c r="O78" s="27">
        <f>IF(O$62&gt;=$C78,INDEX($D56:O56,1,MATCH(O$62-$C78+1,$D$40:O$40)),0)</f>
        <v>0</v>
      </c>
      <c r="P78" s="27">
        <f>IF(P$62&gt;=$C78,INDEX($D56:P56,1,MATCH(P$62-$C78+1,$D$40:P$40)),0)</f>
        <v>0</v>
      </c>
      <c r="Q78" s="27">
        <f>IF(Q$62&gt;=$C78,INDEX($D56:Q56,1,MATCH(Q$62-$C78+1,$D$40:Q$40)),0)</f>
        <v>0</v>
      </c>
      <c r="R78" s="27">
        <f>IF(R$62&gt;=$C78,INDEX($D56:R56,1,MATCH(R$62-$C78+1,$D$40:R$40)),0)</f>
        <v>0</v>
      </c>
      <c r="S78" s="27">
        <f>IF(S$62&gt;=$C78,INDEX($D56:S56,1,MATCH(S$62-$C78+1,$D$40:S$40)),0)</f>
        <v>42</v>
      </c>
      <c r="T78" s="27">
        <f>IF(T$62&gt;=$C78,INDEX($D56:T56,1,MATCH(T$62-$C78+1,$D$40:T$40)),0)</f>
        <v>0</v>
      </c>
      <c r="U78" s="27">
        <f>IF(U$62&gt;=$C78,INDEX($D56:U56,1,MATCH(U$62-$C78+1,$D$40:U$40)),0)</f>
        <v>4</v>
      </c>
      <c r="V78" s="27">
        <f>IF(V$62&gt;=$C78,INDEX($D56:V56,1,MATCH(V$62-$C78+1,$D$40:V$40)),0)</f>
        <v>0</v>
      </c>
      <c r="W78" s="27">
        <f>IF(W$62&gt;=$C78,INDEX($D56:W56,1,MATCH(W$62-$C78+1,$D$40:W$40)),0)</f>
        <v>0</v>
      </c>
      <c r="Z78" s="27">
        <v>0</v>
      </c>
      <c r="AA78" s="27">
        <f>IF(AA$62&gt;=$C78,INDEX($Z56:AA56,1,MATCH(AA$62-$C78+1,$Z$40:AA$40)),0)</f>
        <v>0</v>
      </c>
      <c r="AB78" s="27">
        <f>IF(AB$62&gt;=$C78,INDEX($Z56:AB56,1,MATCH(AB$62-$C78+1,$Z$40:AB$40)),0)</f>
        <v>0</v>
      </c>
      <c r="AC78" s="27">
        <f>IF(AC$62&gt;=$C78,INDEX($Z56:AC56,1,MATCH(AC$62-$C78+1,$Z$40:AC$40)),0)</f>
        <v>0</v>
      </c>
      <c r="AD78" s="27">
        <f>IF(AD$62&gt;=$C78,INDEX($Z56:AD56,1,MATCH(AD$62-$C78+1,$Z$40:AD$40)),0)</f>
        <v>0</v>
      </c>
      <c r="AE78" s="27">
        <f>IF(AE$62&gt;=$C78,INDEX($Z56:AE56,1,MATCH(AE$62-$C78+1,$Z$40:AE$40)),0)</f>
        <v>0</v>
      </c>
      <c r="AF78" s="27">
        <f>IF(AF$62&gt;=$C78,INDEX($Z56:AF56,1,MATCH(AF$62-$C78+1,$Z$40:AF$40)),0)</f>
        <v>0</v>
      </c>
      <c r="AG78" s="27">
        <f>IF(AG$62&gt;=$C78,INDEX($Z56:AG56,1,MATCH(AG$62-$C78+1,$Z$40:AG$40)),0)</f>
        <v>16</v>
      </c>
      <c r="AH78" s="27">
        <f>IF(AH$62&gt;=$C78,INDEX($Z56:AH56,1,MATCH(AH$62-$C78+1,$Z$40:AH$40)),0)</f>
        <v>0</v>
      </c>
      <c r="AI78" s="27">
        <f>IF(AI$62&gt;=$C78,INDEX($Z56:AI56,1,MATCH(AI$62-$C78+1,$Z$40:AI$40)),0)</f>
        <v>0</v>
      </c>
      <c r="AJ78" s="27">
        <f>IF(AJ$62&gt;=$C78,INDEX($Z56:AJ56,1,MATCH(AJ$62-$C78+1,$Z$40:AJ$40)),0)</f>
        <v>0</v>
      </c>
      <c r="AK78" s="27">
        <f>IF(AK$62&gt;=$C78,INDEX($Z56:AK56,1,MATCH(AK$62-$C78+1,$Z$40:AK$40)),0)</f>
        <v>0</v>
      </c>
      <c r="AL78" s="27">
        <f>IF(AL$62&gt;=$C78,INDEX($Z56:AL56,1,MATCH(AL$62-$C78+1,$Z$40:AL$40)),0)</f>
        <v>0</v>
      </c>
      <c r="AM78" s="27">
        <f>IF(AM$62&gt;=$C78,INDEX($Z56:AM56,1,MATCH(AM$62-$C78+1,$Z$40:AM$40)),0)</f>
        <v>0</v>
      </c>
      <c r="AN78" s="27">
        <f>IF(AN$62&gt;=$C78,INDEX($Z56:AN56,1,MATCH(AN$62-$C78+1,$Z$40:AN$40)),0)</f>
        <v>0</v>
      </c>
      <c r="AO78" s="27">
        <f>IF(AO$62&gt;=$C78,INDEX($Z56:AO56,1,MATCH(AO$62-$C78+1,$Z$40:AO$40)),0)</f>
        <v>14</v>
      </c>
      <c r="AP78" s="27">
        <f>IF(AP$62&gt;=$C78,INDEX($Z56:AP56,1,MATCH(AP$62-$C78+1,$Z$40:AP$40)),0)</f>
        <v>0</v>
      </c>
      <c r="AQ78" s="27">
        <f>IF(AQ$62&gt;=$C78,INDEX($Z56:AQ56,1,MATCH(AQ$62-$C78+1,$Z$40:AQ$40)),0)</f>
        <v>0</v>
      </c>
      <c r="AR78" s="27">
        <f>IF(AR$62&gt;=$C78,INDEX($Z56:AR56,1,MATCH(AR$62-$C78+1,$Z$40:AR$40)),0)</f>
        <v>0</v>
      </c>
      <c r="AS78" s="27">
        <f>IF(AS$62&gt;=$C78,INDEX($Z56:AS56,1,MATCH(AS$62-$C78+1,$Z$40:AS$40)),0)</f>
        <v>0</v>
      </c>
    </row>
    <row r="79" spans="1:49" x14ac:dyDescent="0.25">
      <c r="A79" s="7" t="str">
        <v>Internet exchange point session border controller - software</v>
      </c>
      <c r="C79" s="10">
        <v>8</v>
      </c>
      <c r="D79" s="74">
        <v>0</v>
      </c>
      <c r="E79" s="27">
        <f>IF(E$62&gt;=$C79,INDEX($D57:E57,1,MATCH(E$62-$C79+1,$D$40:E$40)),0)</f>
        <v>0</v>
      </c>
      <c r="F79" s="27">
        <f>IF(F$62&gt;=$C79,INDEX($D57:F57,1,MATCH(F$62-$C79+1,$D$40:F$40)),0)</f>
        <v>0</v>
      </c>
      <c r="G79" s="27">
        <f>IF(G$62&gt;=$C79,INDEX($D57:G57,1,MATCH(G$62-$C79+1,$D$40:G$40)),0)</f>
        <v>0</v>
      </c>
      <c r="H79" s="27">
        <f>IF(H$62&gt;=$C79,INDEX($D57:H57,1,MATCH(H$62-$C79+1,$D$40:H$40)),0)</f>
        <v>0</v>
      </c>
      <c r="I79" s="27">
        <f>IF(I$62&gt;=$C79,INDEX($D57:I57,1,MATCH(I$62-$C79+1,$D$40:I$40)),0)</f>
        <v>0</v>
      </c>
      <c r="J79" s="27">
        <f>IF(J$62&gt;=$C79,INDEX($D57:J57,1,MATCH(J$62-$C79+1,$D$40:J$40)),0)</f>
        <v>0</v>
      </c>
      <c r="K79" s="27">
        <f>IF(K$62&gt;=$C79,INDEX($D57:K57,1,MATCH(K$62-$C79+1,$D$40:K$40)),0)</f>
        <v>84</v>
      </c>
      <c r="L79" s="27">
        <f>IF(L$62&gt;=$C79,INDEX($D57:L57,1,MATCH(L$62-$C79+1,$D$40:L$40)),0)</f>
        <v>0</v>
      </c>
      <c r="M79" s="27">
        <f>IF(M$62&gt;=$C79,INDEX($D57:M57,1,MATCH(M$62-$C79+1,$D$40:M$40)),0)</f>
        <v>6</v>
      </c>
      <c r="N79" s="27">
        <f>IF(N$62&gt;=$C79,INDEX($D57:N57,1,MATCH(N$62-$C79+1,$D$40:N$40)),0)</f>
        <v>0</v>
      </c>
      <c r="O79" s="27">
        <f>IF(O$62&gt;=$C79,INDEX($D57:O57,1,MATCH(O$62-$C79+1,$D$40:O$40)),0)</f>
        <v>0</v>
      </c>
      <c r="P79" s="27">
        <f>IF(P$62&gt;=$C79,INDEX($D57:P57,1,MATCH(P$62-$C79+1,$D$40:P$40)),0)</f>
        <v>0</v>
      </c>
      <c r="Q79" s="27">
        <f>IF(Q$62&gt;=$C79,INDEX($D57:Q57,1,MATCH(Q$62-$C79+1,$D$40:Q$40)),0)</f>
        <v>0</v>
      </c>
      <c r="R79" s="27">
        <f>IF(R$62&gt;=$C79,INDEX($D57:R57,1,MATCH(R$62-$C79+1,$D$40:R$40)),0)</f>
        <v>0</v>
      </c>
      <c r="S79" s="27">
        <f>IF(S$62&gt;=$C79,INDEX($D57:S57,1,MATCH(S$62-$C79+1,$D$40:S$40)),0)</f>
        <v>84</v>
      </c>
      <c r="T79" s="27">
        <f>IF(T$62&gt;=$C79,INDEX($D57:T57,1,MATCH(T$62-$C79+1,$D$40:T$40)),0)</f>
        <v>0</v>
      </c>
      <c r="U79" s="27">
        <f>IF(U$62&gt;=$C79,INDEX($D57:U57,1,MATCH(U$62-$C79+1,$D$40:U$40)),0)</f>
        <v>8</v>
      </c>
      <c r="V79" s="27">
        <f>IF(V$62&gt;=$C79,INDEX($D57:V57,1,MATCH(V$62-$C79+1,$D$40:V$40)),0)</f>
        <v>0</v>
      </c>
      <c r="W79" s="27">
        <f>IF(W$62&gt;=$C79,INDEX($D57:W57,1,MATCH(W$62-$C79+1,$D$40:W$40)),0)</f>
        <v>0</v>
      </c>
      <c r="X79" s="16"/>
      <c r="Z79" s="27">
        <v>0</v>
      </c>
      <c r="AA79" s="27">
        <f>IF(AA$62&gt;=$C79,INDEX($Z57:AA57,1,MATCH(AA$62-$C79+1,$Z$40:AA$40)),0)</f>
        <v>0</v>
      </c>
      <c r="AB79" s="27">
        <f>IF(AB$62&gt;=$C79,INDEX($Z57:AB57,1,MATCH(AB$62-$C79+1,$Z$40:AB$40)),0)</f>
        <v>0</v>
      </c>
      <c r="AC79" s="27">
        <f>IF(AC$62&gt;=$C79,INDEX($Z57:AC57,1,MATCH(AC$62-$C79+1,$Z$40:AC$40)),0)</f>
        <v>0</v>
      </c>
      <c r="AD79" s="27">
        <f>IF(AD$62&gt;=$C79,INDEX($Z57:AD57,1,MATCH(AD$62-$C79+1,$Z$40:AD$40)),0)</f>
        <v>0</v>
      </c>
      <c r="AE79" s="27">
        <f>IF(AE$62&gt;=$C79,INDEX($Z57:AE57,1,MATCH(AE$62-$C79+1,$Z$40:AE$40)),0)</f>
        <v>0</v>
      </c>
      <c r="AF79" s="27">
        <f>IF(AF$62&gt;=$C79,INDEX($Z57:AF57,1,MATCH(AF$62-$C79+1,$Z$40:AF$40)),0)</f>
        <v>0</v>
      </c>
      <c r="AG79" s="27">
        <f>IF(AG$62&gt;=$C79,INDEX($Z57:AG57,1,MATCH(AG$62-$C79+1,$Z$40:AG$40)),0)</f>
        <v>30</v>
      </c>
      <c r="AH79" s="27">
        <f>IF(AH$62&gt;=$C79,INDEX($Z57:AH57,1,MATCH(AH$62-$C79+1,$Z$40:AH$40)),0)</f>
        <v>0</v>
      </c>
      <c r="AI79" s="27">
        <f>IF(AI$62&gt;=$C79,INDEX($Z57:AI57,1,MATCH(AI$62-$C79+1,$Z$40:AI$40)),0)</f>
        <v>0</v>
      </c>
      <c r="AJ79" s="27">
        <f>IF(AJ$62&gt;=$C79,INDEX($Z57:AJ57,1,MATCH(AJ$62-$C79+1,$Z$40:AJ$40)),0)</f>
        <v>0</v>
      </c>
      <c r="AK79" s="27">
        <f>IF(AK$62&gt;=$C79,INDEX($Z57:AK57,1,MATCH(AK$62-$C79+1,$Z$40:AK$40)),0)</f>
        <v>0</v>
      </c>
      <c r="AL79" s="27">
        <f>IF(AL$62&gt;=$C79,INDEX($Z57:AL57,1,MATCH(AL$62-$C79+1,$Z$40:AL$40)),0)</f>
        <v>0</v>
      </c>
      <c r="AM79" s="27">
        <f>IF(AM$62&gt;=$C79,INDEX($Z57:AM57,1,MATCH(AM$62-$C79+1,$Z$40:AM$40)),0)</f>
        <v>0</v>
      </c>
      <c r="AN79" s="27">
        <f>IF(AN$62&gt;=$C79,INDEX($Z57:AN57,1,MATCH(AN$62-$C79+1,$Z$40:AN$40)),0)</f>
        <v>0</v>
      </c>
      <c r="AO79" s="27">
        <f>IF(AO$62&gt;=$C79,INDEX($Z57:AO57,1,MATCH(AO$62-$C79+1,$Z$40:AO$40)),0)</f>
        <v>26</v>
      </c>
      <c r="AP79" s="27">
        <f>IF(AP$62&gt;=$C79,INDEX($Z57:AP57,1,MATCH(AP$62-$C79+1,$Z$40:AP$40)),0)</f>
        <v>0</v>
      </c>
      <c r="AQ79" s="27">
        <f>IF(AQ$62&gt;=$C79,INDEX($Z57:AQ57,1,MATCH(AQ$62-$C79+1,$Z$40:AQ$40)),0)</f>
        <v>0</v>
      </c>
      <c r="AR79" s="27">
        <f>IF(AR$62&gt;=$C79,INDEX($Z57:AR57,1,MATCH(AR$62-$C79+1,$Z$40:AR$40)),0)</f>
        <v>0</v>
      </c>
      <c r="AS79" s="27">
        <f>IF(AS$62&gt;=$C79,INDEX($Z57:AS57,1,MATCH(AS$62-$C79+1,$Z$40:AS$40)),0)</f>
        <v>0</v>
      </c>
      <c r="AT79" s="16"/>
      <c r="AW79" s="115"/>
    </row>
    <row r="81" spans="1:45" x14ac:dyDescent="0.25">
      <c r="A81" s="30" t="s">
        <v>370</v>
      </c>
    </row>
    <row r="82" spans="1:45" x14ac:dyDescent="0.25">
      <c r="A82" s="22"/>
    </row>
    <row r="83" spans="1:45" x14ac:dyDescent="0.25">
      <c r="A83" s="13" t="s">
        <v>375</v>
      </c>
    </row>
    <row r="84" spans="1:45" x14ac:dyDescent="0.25">
      <c r="A84"/>
    </row>
    <row r="85" spans="1:45" ht="30" x14ac:dyDescent="0.25">
      <c r="A85" s="130"/>
      <c r="C85" s="57" t="s">
        <v>156</v>
      </c>
      <c r="D85" s="53" cm="1">
        <f t="array" ref="D85:W85">years</f>
        <v>2018</v>
      </c>
      <c r="E85" s="53">
        <v>2019</v>
      </c>
      <c r="F85" s="53">
        <v>2020</v>
      </c>
      <c r="G85" s="53">
        <v>2021</v>
      </c>
      <c r="H85" s="53">
        <v>2022</v>
      </c>
      <c r="I85" s="53">
        <v>2023</v>
      </c>
      <c r="J85" s="53">
        <v>2024</v>
      </c>
      <c r="K85" s="53">
        <v>2025</v>
      </c>
      <c r="L85" s="53">
        <v>2026</v>
      </c>
      <c r="M85" s="53">
        <v>2027</v>
      </c>
      <c r="N85" s="53">
        <v>2028</v>
      </c>
      <c r="O85" s="53">
        <v>2029</v>
      </c>
      <c r="P85" s="53">
        <v>2030</v>
      </c>
      <c r="Q85" s="53">
        <v>2031</v>
      </c>
      <c r="R85" s="53">
        <v>2032</v>
      </c>
      <c r="S85" s="53">
        <v>2033</v>
      </c>
      <c r="T85" s="53">
        <v>2034</v>
      </c>
      <c r="U85" s="53">
        <v>2035</v>
      </c>
      <c r="V85" s="53">
        <v>2036</v>
      </c>
      <c r="W85" s="53">
        <v>2037</v>
      </c>
      <c r="Z85" s="235" cm="1">
        <f t="array" ref="Z85:AS85">years</f>
        <v>2018</v>
      </c>
      <c r="AA85" s="54">
        <v>2019</v>
      </c>
      <c r="AB85" s="53">
        <v>2020</v>
      </c>
      <c r="AC85" s="53">
        <v>2021</v>
      </c>
      <c r="AD85" s="53">
        <v>2022</v>
      </c>
      <c r="AE85" s="53">
        <v>2023</v>
      </c>
      <c r="AF85" s="53">
        <v>2024</v>
      </c>
      <c r="AG85" s="53">
        <v>2025</v>
      </c>
      <c r="AH85" s="53">
        <v>2026</v>
      </c>
      <c r="AI85" s="53">
        <v>2027</v>
      </c>
      <c r="AJ85" s="53">
        <v>2028</v>
      </c>
      <c r="AK85" s="53">
        <v>2029</v>
      </c>
      <c r="AL85" s="53">
        <v>2030</v>
      </c>
      <c r="AM85" s="53">
        <v>2031</v>
      </c>
      <c r="AN85" s="53">
        <v>2032</v>
      </c>
      <c r="AO85" s="53">
        <v>2033</v>
      </c>
      <c r="AP85" s="53">
        <v>2034</v>
      </c>
      <c r="AQ85" s="53">
        <v>2035</v>
      </c>
      <c r="AR85" s="53">
        <v>2036</v>
      </c>
      <c r="AS85" s="53">
        <v>2037</v>
      </c>
    </row>
    <row r="86" spans="1:45" x14ac:dyDescent="0.25">
      <c r="A86" s="7" t="str" cm="1">
        <f t="array" ref="A86:A101">core_elements</f>
        <v>Application server hardware</v>
      </c>
      <c r="C86" s="10">
        <v>8</v>
      </c>
      <c r="D86" s="27">
        <f>D42</f>
        <v>4</v>
      </c>
      <c r="E86" s="27">
        <f t="shared" ref="E86:W86" si="55">D86+E42-E64</f>
        <v>4</v>
      </c>
      <c r="F86" s="27">
        <f t="shared" si="55"/>
        <v>4</v>
      </c>
      <c r="G86" s="27">
        <f t="shared" si="55"/>
        <v>4</v>
      </c>
      <c r="H86" s="27">
        <f t="shared" si="55"/>
        <v>4</v>
      </c>
      <c r="I86" s="27">
        <f t="shared" si="55"/>
        <v>4</v>
      </c>
      <c r="J86" s="27">
        <f t="shared" si="55"/>
        <v>4</v>
      </c>
      <c r="K86" s="27">
        <f t="shared" si="55"/>
        <v>0</v>
      </c>
      <c r="L86" s="27">
        <f t="shared" si="55"/>
        <v>4</v>
      </c>
      <c r="M86" s="27">
        <f t="shared" si="55"/>
        <v>4</v>
      </c>
      <c r="N86" s="27">
        <f t="shared" si="55"/>
        <v>4</v>
      </c>
      <c r="O86" s="27">
        <f t="shared" si="55"/>
        <v>4</v>
      </c>
      <c r="P86" s="27">
        <f t="shared" si="55"/>
        <v>4</v>
      </c>
      <c r="Q86" s="27">
        <f t="shared" si="55"/>
        <v>4</v>
      </c>
      <c r="R86" s="27">
        <f t="shared" si="55"/>
        <v>4</v>
      </c>
      <c r="S86" s="27">
        <f t="shared" si="55"/>
        <v>0</v>
      </c>
      <c r="T86" s="27">
        <f t="shared" si="55"/>
        <v>4</v>
      </c>
      <c r="U86" s="27">
        <f t="shared" si="55"/>
        <v>4</v>
      </c>
      <c r="V86" s="27">
        <f t="shared" si="55"/>
        <v>4</v>
      </c>
      <c r="W86" s="27">
        <f t="shared" si="55"/>
        <v>4</v>
      </c>
      <c r="Z86" s="27">
        <f>Z42</f>
        <v>2</v>
      </c>
      <c r="AA86" s="27">
        <f t="shared" ref="AA86:AS86" si="56">Z86+AA42-AA64</f>
        <v>2</v>
      </c>
      <c r="AB86" s="27">
        <f t="shared" si="56"/>
        <v>2</v>
      </c>
      <c r="AC86" s="27">
        <f t="shared" si="56"/>
        <v>2</v>
      </c>
      <c r="AD86" s="27">
        <f t="shared" si="56"/>
        <v>2</v>
      </c>
      <c r="AE86" s="27">
        <f t="shared" si="56"/>
        <v>2</v>
      </c>
      <c r="AF86" s="27">
        <f t="shared" si="56"/>
        <v>2</v>
      </c>
      <c r="AG86" s="27">
        <f t="shared" si="56"/>
        <v>0</v>
      </c>
      <c r="AH86" s="27">
        <f t="shared" si="56"/>
        <v>2</v>
      </c>
      <c r="AI86" s="27">
        <f t="shared" si="56"/>
        <v>2</v>
      </c>
      <c r="AJ86" s="27">
        <f t="shared" si="56"/>
        <v>2</v>
      </c>
      <c r="AK86" s="27">
        <f t="shared" si="56"/>
        <v>2</v>
      </c>
      <c r="AL86" s="27">
        <f t="shared" si="56"/>
        <v>2</v>
      </c>
      <c r="AM86" s="27">
        <f t="shared" si="56"/>
        <v>2</v>
      </c>
      <c r="AN86" s="27">
        <f t="shared" si="56"/>
        <v>2</v>
      </c>
      <c r="AO86" s="27">
        <f t="shared" si="56"/>
        <v>0</v>
      </c>
      <c r="AP86" s="27">
        <f t="shared" si="56"/>
        <v>2</v>
      </c>
      <c r="AQ86" s="27">
        <f t="shared" si="56"/>
        <v>2</v>
      </c>
      <c r="AR86" s="27">
        <f t="shared" si="56"/>
        <v>2</v>
      </c>
      <c r="AS86" s="27">
        <f t="shared" si="56"/>
        <v>2</v>
      </c>
    </row>
    <row r="87" spans="1:45" x14ac:dyDescent="0.25">
      <c r="A87" s="7" t="str">
        <v>Application server software</v>
      </c>
      <c r="C87" s="10">
        <v>8</v>
      </c>
      <c r="D87" s="27">
        <f t="shared" ref="D87:D101" si="57">D43</f>
        <v>4</v>
      </c>
      <c r="E87" s="27">
        <f t="shared" ref="E87:W87" si="58">D87+E43-E65</f>
        <v>4</v>
      </c>
      <c r="F87" s="27">
        <f t="shared" si="58"/>
        <v>4</v>
      </c>
      <c r="G87" s="27">
        <f t="shared" si="58"/>
        <v>4</v>
      </c>
      <c r="H87" s="27">
        <f t="shared" si="58"/>
        <v>4</v>
      </c>
      <c r="I87" s="27">
        <f t="shared" si="58"/>
        <v>4</v>
      </c>
      <c r="J87" s="27">
        <f t="shared" si="58"/>
        <v>4</v>
      </c>
      <c r="K87" s="27">
        <f t="shared" si="58"/>
        <v>0</v>
      </c>
      <c r="L87" s="27">
        <f t="shared" si="58"/>
        <v>4</v>
      </c>
      <c r="M87" s="27">
        <f t="shared" si="58"/>
        <v>4</v>
      </c>
      <c r="N87" s="27">
        <f t="shared" si="58"/>
        <v>4</v>
      </c>
      <c r="O87" s="27">
        <f t="shared" si="58"/>
        <v>4</v>
      </c>
      <c r="P87" s="27">
        <f t="shared" si="58"/>
        <v>4</v>
      </c>
      <c r="Q87" s="27">
        <f t="shared" si="58"/>
        <v>4</v>
      </c>
      <c r="R87" s="27">
        <f t="shared" si="58"/>
        <v>4</v>
      </c>
      <c r="S87" s="27">
        <f t="shared" si="58"/>
        <v>0</v>
      </c>
      <c r="T87" s="27">
        <f t="shared" si="58"/>
        <v>4</v>
      </c>
      <c r="U87" s="27">
        <f t="shared" si="58"/>
        <v>4</v>
      </c>
      <c r="V87" s="27">
        <f t="shared" si="58"/>
        <v>4</v>
      </c>
      <c r="W87" s="27">
        <f t="shared" si="58"/>
        <v>4</v>
      </c>
      <c r="Z87" s="27">
        <f t="shared" ref="Z87:Z101" si="59">Z43</f>
        <v>2</v>
      </c>
      <c r="AA87" s="27">
        <f t="shared" ref="AA87:AS87" si="60">Z87+AA43-AA65</f>
        <v>2</v>
      </c>
      <c r="AB87" s="27">
        <f t="shared" si="60"/>
        <v>2</v>
      </c>
      <c r="AC87" s="27">
        <f t="shared" si="60"/>
        <v>2</v>
      </c>
      <c r="AD87" s="27">
        <f t="shared" si="60"/>
        <v>2</v>
      </c>
      <c r="AE87" s="27">
        <f t="shared" si="60"/>
        <v>2</v>
      </c>
      <c r="AF87" s="27">
        <f t="shared" si="60"/>
        <v>2</v>
      </c>
      <c r="AG87" s="27">
        <f t="shared" si="60"/>
        <v>0</v>
      </c>
      <c r="AH87" s="27">
        <f t="shared" si="60"/>
        <v>2</v>
      </c>
      <c r="AI87" s="27">
        <f t="shared" si="60"/>
        <v>2</v>
      </c>
      <c r="AJ87" s="27">
        <f t="shared" si="60"/>
        <v>2</v>
      </c>
      <c r="AK87" s="27">
        <f t="shared" si="60"/>
        <v>2</v>
      </c>
      <c r="AL87" s="27">
        <f t="shared" si="60"/>
        <v>2</v>
      </c>
      <c r="AM87" s="27">
        <f t="shared" si="60"/>
        <v>2</v>
      </c>
      <c r="AN87" s="27">
        <f t="shared" si="60"/>
        <v>2</v>
      </c>
      <c r="AO87" s="27">
        <f t="shared" si="60"/>
        <v>0</v>
      </c>
      <c r="AP87" s="27">
        <f t="shared" si="60"/>
        <v>2</v>
      </c>
      <c r="AQ87" s="27">
        <f t="shared" si="60"/>
        <v>2</v>
      </c>
      <c r="AR87" s="27">
        <f t="shared" si="60"/>
        <v>2</v>
      </c>
      <c r="AS87" s="27">
        <f t="shared" si="60"/>
        <v>2</v>
      </c>
    </row>
    <row r="88" spans="1:45" x14ac:dyDescent="0.25">
      <c r="A88" s="7" t="str">
        <v>Charging data function hardware</v>
      </c>
      <c r="C88" s="10">
        <v>8</v>
      </c>
      <c r="D88" s="27">
        <f t="shared" si="57"/>
        <v>2</v>
      </c>
      <c r="E88" s="27">
        <f t="shared" ref="E88:W88" si="61">D88+E44-E66</f>
        <v>2</v>
      </c>
      <c r="F88" s="27">
        <f t="shared" si="61"/>
        <v>2</v>
      </c>
      <c r="G88" s="27">
        <f t="shared" si="61"/>
        <v>2</v>
      </c>
      <c r="H88" s="27">
        <f t="shared" si="61"/>
        <v>2</v>
      </c>
      <c r="I88" s="27">
        <f t="shared" si="61"/>
        <v>2</v>
      </c>
      <c r="J88" s="27">
        <f t="shared" si="61"/>
        <v>2</v>
      </c>
      <c r="K88" s="27">
        <f t="shared" si="61"/>
        <v>0</v>
      </c>
      <c r="L88" s="27">
        <f t="shared" si="61"/>
        <v>2</v>
      </c>
      <c r="M88" s="27">
        <f t="shared" si="61"/>
        <v>2</v>
      </c>
      <c r="N88" s="27">
        <f t="shared" si="61"/>
        <v>2</v>
      </c>
      <c r="O88" s="27">
        <f t="shared" si="61"/>
        <v>2</v>
      </c>
      <c r="P88" s="27">
        <f t="shared" si="61"/>
        <v>2</v>
      </c>
      <c r="Q88" s="27">
        <f t="shared" si="61"/>
        <v>2</v>
      </c>
      <c r="R88" s="27">
        <f t="shared" si="61"/>
        <v>2</v>
      </c>
      <c r="S88" s="27">
        <f t="shared" si="61"/>
        <v>0</v>
      </c>
      <c r="T88" s="27">
        <f t="shared" si="61"/>
        <v>2</v>
      </c>
      <c r="U88" s="27">
        <f t="shared" si="61"/>
        <v>2</v>
      </c>
      <c r="V88" s="27">
        <f t="shared" si="61"/>
        <v>2</v>
      </c>
      <c r="W88" s="27">
        <f t="shared" si="61"/>
        <v>2</v>
      </c>
      <c r="Z88" s="27">
        <f t="shared" si="59"/>
        <v>2</v>
      </c>
      <c r="AA88" s="27">
        <f t="shared" ref="AA88:AS88" si="62">Z88+AA44-AA66</f>
        <v>2</v>
      </c>
      <c r="AB88" s="27">
        <f t="shared" si="62"/>
        <v>2</v>
      </c>
      <c r="AC88" s="27">
        <f t="shared" si="62"/>
        <v>2</v>
      </c>
      <c r="AD88" s="27">
        <f t="shared" si="62"/>
        <v>2</v>
      </c>
      <c r="AE88" s="27">
        <f t="shared" si="62"/>
        <v>2</v>
      </c>
      <c r="AF88" s="27">
        <f t="shared" si="62"/>
        <v>2</v>
      </c>
      <c r="AG88" s="27">
        <f t="shared" si="62"/>
        <v>0</v>
      </c>
      <c r="AH88" s="27">
        <f t="shared" si="62"/>
        <v>2</v>
      </c>
      <c r="AI88" s="27">
        <f t="shared" si="62"/>
        <v>2</v>
      </c>
      <c r="AJ88" s="27">
        <f t="shared" si="62"/>
        <v>2</v>
      </c>
      <c r="AK88" s="27">
        <f t="shared" si="62"/>
        <v>2</v>
      </c>
      <c r="AL88" s="27">
        <f t="shared" si="62"/>
        <v>2</v>
      </c>
      <c r="AM88" s="27">
        <f t="shared" si="62"/>
        <v>2</v>
      </c>
      <c r="AN88" s="27">
        <f t="shared" si="62"/>
        <v>2</v>
      </c>
      <c r="AO88" s="27">
        <f t="shared" si="62"/>
        <v>0</v>
      </c>
      <c r="AP88" s="27">
        <f t="shared" si="62"/>
        <v>2</v>
      </c>
      <c r="AQ88" s="27">
        <f t="shared" si="62"/>
        <v>2</v>
      </c>
      <c r="AR88" s="27">
        <f t="shared" si="62"/>
        <v>2</v>
      </c>
      <c r="AS88" s="27">
        <f t="shared" si="62"/>
        <v>2</v>
      </c>
    </row>
    <row r="89" spans="1:45" x14ac:dyDescent="0.25">
      <c r="A89" s="7" t="str">
        <v>Charging data function software</v>
      </c>
      <c r="C89" s="10">
        <v>8</v>
      </c>
      <c r="D89" s="27">
        <f t="shared" si="57"/>
        <v>2</v>
      </c>
      <c r="E89" s="27">
        <f t="shared" ref="E89:W89" si="63">D89+E45-E67</f>
        <v>2</v>
      </c>
      <c r="F89" s="27">
        <f t="shared" si="63"/>
        <v>2</v>
      </c>
      <c r="G89" s="27">
        <f t="shared" si="63"/>
        <v>2</v>
      </c>
      <c r="H89" s="27">
        <f t="shared" si="63"/>
        <v>2</v>
      </c>
      <c r="I89" s="27">
        <f t="shared" si="63"/>
        <v>2</v>
      </c>
      <c r="J89" s="27">
        <f t="shared" si="63"/>
        <v>2</v>
      </c>
      <c r="K89" s="27">
        <f t="shared" si="63"/>
        <v>0</v>
      </c>
      <c r="L89" s="27">
        <f t="shared" si="63"/>
        <v>2</v>
      </c>
      <c r="M89" s="27">
        <f t="shared" si="63"/>
        <v>2</v>
      </c>
      <c r="N89" s="27">
        <f t="shared" si="63"/>
        <v>2</v>
      </c>
      <c r="O89" s="27">
        <f t="shared" si="63"/>
        <v>2</v>
      </c>
      <c r="P89" s="27">
        <f t="shared" si="63"/>
        <v>2</v>
      </c>
      <c r="Q89" s="27">
        <f t="shared" si="63"/>
        <v>2</v>
      </c>
      <c r="R89" s="27">
        <f t="shared" si="63"/>
        <v>2</v>
      </c>
      <c r="S89" s="27">
        <f t="shared" si="63"/>
        <v>0</v>
      </c>
      <c r="T89" s="27">
        <f t="shared" si="63"/>
        <v>2</v>
      </c>
      <c r="U89" s="27">
        <f t="shared" si="63"/>
        <v>2</v>
      </c>
      <c r="V89" s="27">
        <f t="shared" si="63"/>
        <v>2</v>
      </c>
      <c r="W89" s="27">
        <f t="shared" si="63"/>
        <v>2</v>
      </c>
      <c r="Z89" s="27">
        <f t="shared" si="59"/>
        <v>2</v>
      </c>
      <c r="AA89" s="27">
        <f t="shared" ref="AA89:AS89" si="64">Z89+AA45-AA67</f>
        <v>2</v>
      </c>
      <c r="AB89" s="27">
        <f t="shared" si="64"/>
        <v>2</v>
      </c>
      <c r="AC89" s="27">
        <f t="shared" si="64"/>
        <v>2</v>
      </c>
      <c r="AD89" s="27">
        <f t="shared" si="64"/>
        <v>2</v>
      </c>
      <c r="AE89" s="27">
        <f t="shared" si="64"/>
        <v>2</v>
      </c>
      <c r="AF89" s="27">
        <f t="shared" si="64"/>
        <v>2</v>
      </c>
      <c r="AG89" s="27">
        <f t="shared" si="64"/>
        <v>0</v>
      </c>
      <c r="AH89" s="27">
        <f t="shared" si="64"/>
        <v>2</v>
      </c>
      <c r="AI89" s="27">
        <f t="shared" si="64"/>
        <v>2</v>
      </c>
      <c r="AJ89" s="27">
        <f t="shared" si="64"/>
        <v>2</v>
      </c>
      <c r="AK89" s="27">
        <f t="shared" si="64"/>
        <v>2</v>
      </c>
      <c r="AL89" s="27">
        <f t="shared" si="64"/>
        <v>2</v>
      </c>
      <c r="AM89" s="27">
        <f t="shared" si="64"/>
        <v>2</v>
      </c>
      <c r="AN89" s="27">
        <f t="shared" si="64"/>
        <v>2</v>
      </c>
      <c r="AO89" s="27">
        <f t="shared" si="64"/>
        <v>0</v>
      </c>
      <c r="AP89" s="27">
        <f t="shared" si="64"/>
        <v>2</v>
      </c>
      <c r="AQ89" s="27">
        <f t="shared" si="64"/>
        <v>2</v>
      </c>
      <c r="AR89" s="27">
        <f t="shared" si="64"/>
        <v>2</v>
      </c>
      <c r="AS89" s="27">
        <f t="shared" si="64"/>
        <v>2</v>
      </c>
    </row>
    <row r="90" spans="1:45" x14ac:dyDescent="0.25">
      <c r="A90" s="7" t="str">
        <v>Proxy - Call session control function hardware</v>
      </c>
      <c r="C90" s="10">
        <v>8</v>
      </c>
      <c r="D90" s="27">
        <f t="shared" si="57"/>
        <v>4</v>
      </c>
      <c r="E90" s="27">
        <f t="shared" ref="E90:W90" si="65">D90+E46-E68</f>
        <v>4</v>
      </c>
      <c r="F90" s="27">
        <f t="shared" si="65"/>
        <v>4</v>
      </c>
      <c r="G90" s="27">
        <f t="shared" si="65"/>
        <v>4</v>
      </c>
      <c r="H90" s="27">
        <f t="shared" si="65"/>
        <v>4</v>
      </c>
      <c r="I90" s="27">
        <f t="shared" si="65"/>
        <v>4</v>
      </c>
      <c r="J90" s="27">
        <f t="shared" si="65"/>
        <v>4</v>
      </c>
      <c r="K90" s="27">
        <f t="shared" si="65"/>
        <v>0</v>
      </c>
      <c r="L90" s="27">
        <f t="shared" si="65"/>
        <v>4</v>
      </c>
      <c r="M90" s="27">
        <f t="shared" si="65"/>
        <v>4</v>
      </c>
      <c r="N90" s="27">
        <f t="shared" si="65"/>
        <v>4</v>
      </c>
      <c r="O90" s="27">
        <f t="shared" si="65"/>
        <v>4</v>
      </c>
      <c r="P90" s="27">
        <f t="shared" si="65"/>
        <v>4</v>
      </c>
      <c r="Q90" s="27">
        <f t="shared" si="65"/>
        <v>6</v>
      </c>
      <c r="R90" s="27">
        <f t="shared" si="65"/>
        <v>6</v>
      </c>
      <c r="S90" s="27">
        <f t="shared" si="65"/>
        <v>2</v>
      </c>
      <c r="T90" s="27">
        <f t="shared" si="65"/>
        <v>6</v>
      </c>
      <c r="U90" s="27">
        <f t="shared" si="65"/>
        <v>6</v>
      </c>
      <c r="V90" s="27">
        <f t="shared" si="65"/>
        <v>6</v>
      </c>
      <c r="W90" s="27">
        <f t="shared" si="65"/>
        <v>6</v>
      </c>
      <c r="Z90" s="27">
        <f t="shared" si="59"/>
        <v>2</v>
      </c>
      <c r="AA90" s="27">
        <f t="shared" ref="AA90:AS90" si="66">Z90+AA46-AA68</f>
        <v>2</v>
      </c>
      <c r="AB90" s="27">
        <f t="shared" si="66"/>
        <v>2</v>
      </c>
      <c r="AC90" s="27">
        <f t="shared" si="66"/>
        <v>2</v>
      </c>
      <c r="AD90" s="27">
        <f t="shared" si="66"/>
        <v>2</v>
      </c>
      <c r="AE90" s="27">
        <f t="shared" si="66"/>
        <v>2</v>
      </c>
      <c r="AF90" s="27">
        <f t="shared" si="66"/>
        <v>2</v>
      </c>
      <c r="AG90" s="27">
        <f t="shared" si="66"/>
        <v>0</v>
      </c>
      <c r="AH90" s="27">
        <f t="shared" si="66"/>
        <v>2</v>
      </c>
      <c r="AI90" s="27">
        <f t="shared" si="66"/>
        <v>2</v>
      </c>
      <c r="AJ90" s="27">
        <f t="shared" si="66"/>
        <v>2</v>
      </c>
      <c r="AK90" s="27">
        <f t="shared" si="66"/>
        <v>2</v>
      </c>
      <c r="AL90" s="27">
        <f t="shared" si="66"/>
        <v>2</v>
      </c>
      <c r="AM90" s="27">
        <f t="shared" si="66"/>
        <v>2</v>
      </c>
      <c r="AN90" s="27">
        <f t="shared" si="66"/>
        <v>2</v>
      </c>
      <c r="AO90" s="27">
        <f t="shared" si="66"/>
        <v>0</v>
      </c>
      <c r="AP90" s="27">
        <f t="shared" si="66"/>
        <v>2</v>
      </c>
      <c r="AQ90" s="27">
        <f t="shared" si="66"/>
        <v>2</v>
      </c>
      <c r="AR90" s="27">
        <f t="shared" si="66"/>
        <v>2</v>
      </c>
      <c r="AS90" s="27">
        <f t="shared" si="66"/>
        <v>2</v>
      </c>
    </row>
    <row r="91" spans="1:45" x14ac:dyDescent="0.25">
      <c r="A91" s="7" t="str">
        <v>Proxy - Call session control function software</v>
      </c>
      <c r="C91" s="10">
        <v>8</v>
      </c>
      <c r="D91" s="27">
        <f t="shared" si="57"/>
        <v>4</v>
      </c>
      <c r="E91" s="27">
        <f t="shared" ref="E91:W91" si="67">D91+E47-E69</f>
        <v>4</v>
      </c>
      <c r="F91" s="27">
        <f t="shared" si="67"/>
        <v>4</v>
      </c>
      <c r="G91" s="27">
        <f t="shared" si="67"/>
        <v>4</v>
      </c>
      <c r="H91" s="27">
        <f t="shared" si="67"/>
        <v>4</v>
      </c>
      <c r="I91" s="27">
        <f t="shared" si="67"/>
        <v>4</v>
      </c>
      <c r="J91" s="27">
        <f t="shared" si="67"/>
        <v>4</v>
      </c>
      <c r="K91" s="27">
        <f t="shared" si="67"/>
        <v>0</v>
      </c>
      <c r="L91" s="27">
        <f t="shared" si="67"/>
        <v>4</v>
      </c>
      <c r="M91" s="27">
        <f t="shared" si="67"/>
        <v>4</v>
      </c>
      <c r="N91" s="27">
        <f t="shared" si="67"/>
        <v>4</v>
      </c>
      <c r="O91" s="27">
        <f t="shared" si="67"/>
        <v>4</v>
      </c>
      <c r="P91" s="27">
        <f t="shared" si="67"/>
        <v>4</v>
      </c>
      <c r="Q91" s="27">
        <f t="shared" si="67"/>
        <v>4</v>
      </c>
      <c r="R91" s="27">
        <f t="shared" si="67"/>
        <v>4</v>
      </c>
      <c r="S91" s="27">
        <f t="shared" si="67"/>
        <v>0</v>
      </c>
      <c r="T91" s="27">
        <f t="shared" si="67"/>
        <v>4</v>
      </c>
      <c r="U91" s="27">
        <f t="shared" si="67"/>
        <v>4</v>
      </c>
      <c r="V91" s="27">
        <f t="shared" si="67"/>
        <v>4</v>
      </c>
      <c r="W91" s="27">
        <f t="shared" si="67"/>
        <v>4</v>
      </c>
      <c r="Z91" s="27">
        <f t="shared" si="59"/>
        <v>2</v>
      </c>
      <c r="AA91" s="27">
        <f t="shared" ref="AA91:AS91" si="68">Z91+AA47-AA69</f>
        <v>2</v>
      </c>
      <c r="AB91" s="27">
        <f t="shared" si="68"/>
        <v>2</v>
      </c>
      <c r="AC91" s="27">
        <f t="shared" si="68"/>
        <v>2</v>
      </c>
      <c r="AD91" s="27">
        <f t="shared" si="68"/>
        <v>2</v>
      </c>
      <c r="AE91" s="27">
        <f t="shared" si="68"/>
        <v>2</v>
      </c>
      <c r="AF91" s="27">
        <f t="shared" si="68"/>
        <v>2</v>
      </c>
      <c r="AG91" s="27">
        <f t="shared" si="68"/>
        <v>0</v>
      </c>
      <c r="AH91" s="27">
        <f t="shared" si="68"/>
        <v>2</v>
      </c>
      <c r="AI91" s="27">
        <f t="shared" si="68"/>
        <v>2</v>
      </c>
      <c r="AJ91" s="27">
        <f t="shared" si="68"/>
        <v>2</v>
      </c>
      <c r="AK91" s="27">
        <f t="shared" si="68"/>
        <v>2</v>
      </c>
      <c r="AL91" s="27">
        <f t="shared" si="68"/>
        <v>2</v>
      </c>
      <c r="AM91" s="27">
        <f t="shared" si="68"/>
        <v>2</v>
      </c>
      <c r="AN91" s="27">
        <f t="shared" si="68"/>
        <v>2</v>
      </c>
      <c r="AO91" s="27">
        <f t="shared" si="68"/>
        <v>0</v>
      </c>
      <c r="AP91" s="27">
        <f t="shared" si="68"/>
        <v>2</v>
      </c>
      <c r="AQ91" s="27">
        <f t="shared" si="68"/>
        <v>2</v>
      </c>
      <c r="AR91" s="27">
        <f t="shared" si="68"/>
        <v>2</v>
      </c>
      <c r="AS91" s="27">
        <f t="shared" si="68"/>
        <v>2</v>
      </c>
    </row>
    <row r="92" spans="1:45" x14ac:dyDescent="0.25">
      <c r="A92" s="7" t="str">
        <v>Interrogating - Call session control function hardware</v>
      </c>
      <c r="C92" s="10">
        <v>8</v>
      </c>
      <c r="D92" s="27">
        <f t="shared" si="57"/>
        <v>4</v>
      </c>
      <c r="E92" s="27">
        <f t="shared" ref="E92:W92" si="69">D92+E48-E70</f>
        <v>4</v>
      </c>
      <c r="F92" s="27">
        <f t="shared" si="69"/>
        <v>4</v>
      </c>
      <c r="G92" s="27">
        <f t="shared" si="69"/>
        <v>4</v>
      </c>
      <c r="H92" s="27">
        <f t="shared" si="69"/>
        <v>4</v>
      </c>
      <c r="I92" s="27">
        <f t="shared" si="69"/>
        <v>4</v>
      </c>
      <c r="J92" s="27">
        <f t="shared" si="69"/>
        <v>4</v>
      </c>
      <c r="K92" s="27">
        <f t="shared" si="69"/>
        <v>0</v>
      </c>
      <c r="L92" s="27">
        <f t="shared" si="69"/>
        <v>4</v>
      </c>
      <c r="M92" s="27">
        <f t="shared" si="69"/>
        <v>4</v>
      </c>
      <c r="N92" s="27">
        <f t="shared" si="69"/>
        <v>4</v>
      </c>
      <c r="O92" s="27">
        <f t="shared" si="69"/>
        <v>4</v>
      </c>
      <c r="P92" s="27">
        <f t="shared" si="69"/>
        <v>4</v>
      </c>
      <c r="Q92" s="27">
        <f t="shared" si="69"/>
        <v>6</v>
      </c>
      <c r="R92" s="27">
        <f t="shared" si="69"/>
        <v>6</v>
      </c>
      <c r="S92" s="27">
        <f t="shared" si="69"/>
        <v>2</v>
      </c>
      <c r="T92" s="27">
        <f t="shared" si="69"/>
        <v>6</v>
      </c>
      <c r="U92" s="27">
        <f t="shared" si="69"/>
        <v>6</v>
      </c>
      <c r="V92" s="27">
        <f t="shared" si="69"/>
        <v>6</v>
      </c>
      <c r="W92" s="27">
        <f t="shared" si="69"/>
        <v>6</v>
      </c>
      <c r="Z92" s="27">
        <f t="shared" si="59"/>
        <v>2</v>
      </c>
      <c r="AA92" s="27">
        <f t="shared" ref="AA92:AS92" si="70">Z92+AA48-AA70</f>
        <v>2</v>
      </c>
      <c r="AB92" s="27">
        <f t="shared" si="70"/>
        <v>2</v>
      </c>
      <c r="AC92" s="27">
        <f t="shared" si="70"/>
        <v>2</v>
      </c>
      <c r="AD92" s="27">
        <f t="shared" si="70"/>
        <v>2</v>
      </c>
      <c r="AE92" s="27">
        <f t="shared" si="70"/>
        <v>2</v>
      </c>
      <c r="AF92" s="27">
        <f t="shared" si="70"/>
        <v>2</v>
      </c>
      <c r="AG92" s="27">
        <f t="shared" si="70"/>
        <v>0</v>
      </c>
      <c r="AH92" s="27">
        <f t="shared" si="70"/>
        <v>2</v>
      </c>
      <c r="AI92" s="27">
        <f t="shared" si="70"/>
        <v>2</v>
      </c>
      <c r="AJ92" s="27">
        <f t="shared" si="70"/>
        <v>2</v>
      </c>
      <c r="AK92" s="27">
        <f t="shared" si="70"/>
        <v>2</v>
      </c>
      <c r="AL92" s="27">
        <f t="shared" si="70"/>
        <v>2</v>
      </c>
      <c r="AM92" s="27">
        <f t="shared" si="70"/>
        <v>2</v>
      </c>
      <c r="AN92" s="27">
        <f t="shared" si="70"/>
        <v>2</v>
      </c>
      <c r="AO92" s="27">
        <f t="shared" si="70"/>
        <v>0</v>
      </c>
      <c r="AP92" s="27">
        <f t="shared" si="70"/>
        <v>2</v>
      </c>
      <c r="AQ92" s="27">
        <f t="shared" si="70"/>
        <v>2</v>
      </c>
      <c r="AR92" s="27">
        <f t="shared" si="70"/>
        <v>2</v>
      </c>
      <c r="AS92" s="27">
        <f t="shared" si="70"/>
        <v>2</v>
      </c>
    </row>
    <row r="93" spans="1:45" x14ac:dyDescent="0.25">
      <c r="A93" s="7" t="str">
        <v>Interrogating - Call session control function software</v>
      </c>
      <c r="C93" s="10">
        <v>8</v>
      </c>
      <c r="D93" s="27">
        <f t="shared" si="57"/>
        <v>4</v>
      </c>
      <c r="E93" s="27">
        <f t="shared" ref="E93:W93" si="71">D93+E49-E71</f>
        <v>4</v>
      </c>
      <c r="F93" s="27">
        <f t="shared" si="71"/>
        <v>4</v>
      </c>
      <c r="G93" s="27">
        <f t="shared" si="71"/>
        <v>4</v>
      </c>
      <c r="H93" s="27">
        <f t="shared" si="71"/>
        <v>4</v>
      </c>
      <c r="I93" s="27">
        <f t="shared" si="71"/>
        <v>4</v>
      </c>
      <c r="J93" s="27">
        <f t="shared" si="71"/>
        <v>4</v>
      </c>
      <c r="K93" s="27">
        <f t="shared" si="71"/>
        <v>0</v>
      </c>
      <c r="L93" s="27">
        <f t="shared" si="71"/>
        <v>4</v>
      </c>
      <c r="M93" s="27">
        <f t="shared" si="71"/>
        <v>4</v>
      </c>
      <c r="N93" s="27">
        <f t="shared" si="71"/>
        <v>4</v>
      </c>
      <c r="O93" s="27">
        <f t="shared" si="71"/>
        <v>4</v>
      </c>
      <c r="P93" s="27">
        <f t="shared" si="71"/>
        <v>4</v>
      </c>
      <c r="Q93" s="27">
        <f t="shared" si="71"/>
        <v>4</v>
      </c>
      <c r="R93" s="27">
        <f t="shared" si="71"/>
        <v>4</v>
      </c>
      <c r="S93" s="27">
        <f t="shared" si="71"/>
        <v>0</v>
      </c>
      <c r="T93" s="27">
        <f t="shared" si="71"/>
        <v>4</v>
      </c>
      <c r="U93" s="27">
        <f t="shared" si="71"/>
        <v>4</v>
      </c>
      <c r="V93" s="27">
        <f t="shared" si="71"/>
        <v>4</v>
      </c>
      <c r="W93" s="27">
        <f t="shared" si="71"/>
        <v>4</v>
      </c>
      <c r="Z93" s="27">
        <f t="shared" si="59"/>
        <v>2</v>
      </c>
      <c r="AA93" s="27">
        <f t="shared" ref="AA93:AS93" si="72">Z93+AA49-AA71</f>
        <v>2</v>
      </c>
      <c r="AB93" s="27">
        <f t="shared" si="72"/>
        <v>2</v>
      </c>
      <c r="AC93" s="27">
        <f t="shared" si="72"/>
        <v>2</v>
      </c>
      <c r="AD93" s="27">
        <f t="shared" si="72"/>
        <v>2</v>
      </c>
      <c r="AE93" s="27">
        <f t="shared" si="72"/>
        <v>2</v>
      </c>
      <c r="AF93" s="27">
        <f t="shared" si="72"/>
        <v>2</v>
      </c>
      <c r="AG93" s="27">
        <f t="shared" si="72"/>
        <v>0</v>
      </c>
      <c r="AH93" s="27">
        <f t="shared" si="72"/>
        <v>2</v>
      </c>
      <c r="AI93" s="27">
        <f t="shared" si="72"/>
        <v>2</v>
      </c>
      <c r="AJ93" s="27">
        <f t="shared" si="72"/>
        <v>2</v>
      </c>
      <c r="AK93" s="27">
        <f t="shared" si="72"/>
        <v>2</v>
      </c>
      <c r="AL93" s="27">
        <f t="shared" si="72"/>
        <v>2</v>
      </c>
      <c r="AM93" s="27">
        <f t="shared" si="72"/>
        <v>2</v>
      </c>
      <c r="AN93" s="27">
        <f t="shared" si="72"/>
        <v>2</v>
      </c>
      <c r="AO93" s="27">
        <f t="shared" si="72"/>
        <v>0</v>
      </c>
      <c r="AP93" s="27">
        <f t="shared" si="72"/>
        <v>2</v>
      </c>
      <c r="AQ93" s="27">
        <f t="shared" si="72"/>
        <v>2</v>
      </c>
      <c r="AR93" s="27">
        <f t="shared" si="72"/>
        <v>2</v>
      </c>
      <c r="AS93" s="27">
        <f t="shared" si="72"/>
        <v>2</v>
      </c>
    </row>
    <row r="94" spans="1:45" x14ac:dyDescent="0.25">
      <c r="A94" s="7" t="str">
        <v>Serving - Call session control function hardware</v>
      </c>
      <c r="C94" s="10">
        <v>8</v>
      </c>
      <c r="D94" s="27">
        <f t="shared" si="57"/>
        <v>4</v>
      </c>
      <c r="E94" s="27">
        <f t="shared" ref="E94:W94" si="73">D94+E50-E72</f>
        <v>4</v>
      </c>
      <c r="F94" s="27">
        <f t="shared" si="73"/>
        <v>4</v>
      </c>
      <c r="G94" s="27">
        <f t="shared" si="73"/>
        <v>4</v>
      </c>
      <c r="H94" s="27">
        <f t="shared" si="73"/>
        <v>4</v>
      </c>
      <c r="I94" s="27">
        <f t="shared" si="73"/>
        <v>4</v>
      </c>
      <c r="J94" s="27">
        <f t="shared" si="73"/>
        <v>4</v>
      </c>
      <c r="K94" s="27">
        <f t="shared" si="73"/>
        <v>0</v>
      </c>
      <c r="L94" s="27">
        <f t="shared" si="73"/>
        <v>4</v>
      </c>
      <c r="M94" s="27">
        <f t="shared" si="73"/>
        <v>4</v>
      </c>
      <c r="N94" s="27">
        <f t="shared" si="73"/>
        <v>4</v>
      </c>
      <c r="O94" s="27">
        <f t="shared" si="73"/>
        <v>4</v>
      </c>
      <c r="P94" s="27">
        <f t="shared" si="73"/>
        <v>4</v>
      </c>
      <c r="Q94" s="27">
        <f t="shared" si="73"/>
        <v>4</v>
      </c>
      <c r="R94" s="27">
        <f t="shared" si="73"/>
        <v>4</v>
      </c>
      <c r="S94" s="27">
        <f t="shared" si="73"/>
        <v>0</v>
      </c>
      <c r="T94" s="27">
        <f t="shared" si="73"/>
        <v>4</v>
      </c>
      <c r="U94" s="27">
        <f t="shared" si="73"/>
        <v>4</v>
      </c>
      <c r="V94" s="27">
        <f t="shared" si="73"/>
        <v>4</v>
      </c>
      <c r="W94" s="27">
        <f t="shared" si="73"/>
        <v>4</v>
      </c>
      <c r="Z94" s="27">
        <f t="shared" si="59"/>
        <v>2</v>
      </c>
      <c r="AA94" s="27">
        <f t="shared" ref="AA94:AS94" si="74">Z94+AA50-AA72</f>
        <v>2</v>
      </c>
      <c r="AB94" s="27">
        <f t="shared" si="74"/>
        <v>2</v>
      </c>
      <c r="AC94" s="27">
        <f t="shared" si="74"/>
        <v>2</v>
      </c>
      <c r="AD94" s="27">
        <f t="shared" si="74"/>
        <v>2</v>
      </c>
      <c r="AE94" s="27">
        <f t="shared" si="74"/>
        <v>2</v>
      </c>
      <c r="AF94" s="27">
        <f t="shared" si="74"/>
        <v>2</v>
      </c>
      <c r="AG94" s="27">
        <f t="shared" si="74"/>
        <v>0</v>
      </c>
      <c r="AH94" s="27">
        <f t="shared" si="74"/>
        <v>2</v>
      </c>
      <c r="AI94" s="27">
        <f t="shared" si="74"/>
        <v>2</v>
      </c>
      <c r="AJ94" s="27">
        <f t="shared" si="74"/>
        <v>2</v>
      </c>
      <c r="AK94" s="27">
        <f t="shared" si="74"/>
        <v>2</v>
      </c>
      <c r="AL94" s="27">
        <f t="shared" si="74"/>
        <v>2</v>
      </c>
      <c r="AM94" s="27">
        <f t="shared" si="74"/>
        <v>2</v>
      </c>
      <c r="AN94" s="27">
        <f t="shared" si="74"/>
        <v>2</v>
      </c>
      <c r="AO94" s="27">
        <f t="shared" si="74"/>
        <v>0</v>
      </c>
      <c r="AP94" s="27">
        <f t="shared" si="74"/>
        <v>2</v>
      </c>
      <c r="AQ94" s="27">
        <f t="shared" si="74"/>
        <v>2</v>
      </c>
      <c r="AR94" s="27">
        <f t="shared" si="74"/>
        <v>2</v>
      </c>
      <c r="AS94" s="27">
        <f t="shared" si="74"/>
        <v>2</v>
      </c>
    </row>
    <row r="95" spans="1:45" x14ac:dyDescent="0.25">
      <c r="A95" s="7" t="str">
        <v>Serving - Call session control function software</v>
      </c>
      <c r="C95" s="10">
        <v>8</v>
      </c>
      <c r="D95" s="27">
        <f t="shared" si="57"/>
        <v>4</v>
      </c>
      <c r="E95" s="27">
        <f t="shared" ref="E95:W95" si="75">D95+E51-E73</f>
        <v>4</v>
      </c>
      <c r="F95" s="27">
        <f t="shared" si="75"/>
        <v>4</v>
      </c>
      <c r="G95" s="27">
        <f t="shared" si="75"/>
        <v>4</v>
      </c>
      <c r="H95" s="27">
        <f t="shared" si="75"/>
        <v>4</v>
      </c>
      <c r="I95" s="27">
        <f t="shared" si="75"/>
        <v>4</v>
      </c>
      <c r="J95" s="27">
        <f t="shared" si="75"/>
        <v>4</v>
      </c>
      <c r="K95" s="27">
        <f t="shared" si="75"/>
        <v>0</v>
      </c>
      <c r="L95" s="27">
        <f t="shared" si="75"/>
        <v>4</v>
      </c>
      <c r="M95" s="27">
        <f t="shared" si="75"/>
        <v>4</v>
      </c>
      <c r="N95" s="27">
        <f t="shared" si="75"/>
        <v>4</v>
      </c>
      <c r="O95" s="27">
        <f t="shared" si="75"/>
        <v>4</v>
      </c>
      <c r="P95" s="27">
        <f t="shared" si="75"/>
        <v>4</v>
      </c>
      <c r="Q95" s="27">
        <f t="shared" si="75"/>
        <v>6</v>
      </c>
      <c r="R95" s="27">
        <f t="shared" si="75"/>
        <v>6</v>
      </c>
      <c r="S95" s="27">
        <f t="shared" si="75"/>
        <v>2</v>
      </c>
      <c r="T95" s="27">
        <f t="shared" si="75"/>
        <v>6</v>
      </c>
      <c r="U95" s="27">
        <f t="shared" si="75"/>
        <v>6</v>
      </c>
      <c r="V95" s="27">
        <f t="shared" si="75"/>
        <v>6</v>
      </c>
      <c r="W95" s="27">
        <f t="shared" si="75"/>
        <v>6</v>
      </c>
      <c r="Z95" s="27">
        <f t="shared" si="59"/>
        <v>2</v>
      </c>
      <c r="AA95" s="27">
        <f t="shared" ref="AA95:AS95" si="76">Z95+AA51-AA73</f>
        <v>2</v>
      </c>
      <c r="AB95" s="27">
        <f t="shared" si="76"/>
        <v>2</v>
      </c>
      <c r="AC95" s="27">
        <f t="shared" si="76"/>
        <v>2</v>
      </c>
      <c r="AD95" s="27">
        <f t="shared" si="76"/>
        <v>2</v>
      </c>
      <c r="AE95" s="27">
        <f t="shared" si="76"/>
        <v>2</v>
      </c>
      <c r="AF95" s="27">
        <f t="shared" si="76"/>
        <v>2</v>
      </c>
      <c r="AG95" s="27">
        <f t="shared" si="76"/>
        <v>0</v>
      </c>
      <c r="AH95" s="27">
        <f t="shared" si="76"/>
        <v>2</v>
      </c>
      <c r="AI95" s="27">
        <f t="shared" si="76"/>
        <v>2</v>
      </c>
      <c r="AJ95" s="27">
        <f t="shared" si="76"/>
        <v>2</v>
      </c>
      <c r="AK95" s="27">
        <f t="shared" si="76"/>
        <v>2</v>
      </c>
      <c r="AL95" s="27">
        <f t="shared" si="76"/>
        <v>2</v>
      </c>
      <c r="AM95" s="27">
        <f t="shared" si="76"/>
        <v>2</v>
      </c>
      <c r="AN95" s="27">
        <f t="shared" si="76"/>
        <v>2</v>
      </c>
      <c r="AO95" s="27">
        <f t="shared" si="76"/>
        <v>0</v>
      </c>
      <c r="AP95" s="27">
        <f t="shared" si="76"/>
        <v>2</v>
      </c>
      <c r="AQ95" s="27">
        <f t="shared" si="76"/>
        <v>2</v>
      </c>
      <c r="AR95" s="27">
        <f t="shared" si="76"/>
        <v>2</v>
      </c>
      <c r="AS95" s="27">
        <f t="shared" si="76"/>
        <v>2</v>
      </c>
    </row>
    <row r="96" spans="1:45" x14ac:dyDescent="0.25">
      <c r="A96" s="7" t="str">
        <v>Media resource function - hardware</v>
      </c>
      <c r="C96" s="10">
        <v>8</v>
      </c>
      <c r="D96" s="27">
        <f t="shared" si="57"/>
        <v>492</v>
      </c>
      <c r="E96" s="27">
        <f t="shared" ref="E96:W96" si="77">D96+E52-E74</f>
        <v>502</v>
      </c>
      <c r="F96" s="27">
        <f t="shared" si="77"/>
        <v>524</v>
      </c>
      <c r="G96" s="27">
        <f t="shared" si="77"/>
        <v>524</v>
      </c>
      <c r="H96" s="27">
        <f t="shared" si="77"/>
        <v>524</v>
      </c>
      <c r="I96" s="27">
        <f t="shared" si="77"/>
        <v>524</v>
      </c>
      <c r="J96" s="27">
        <f t="shared" si="77"/>
        <v>524</v>
      </c>
      <c r="K96" s="27">
        <f t="shared" si="77"/>
        <v>32</v>
      </c>
      <c r="L96" s="27">
        <f t="shared" si="77"/>
        <v>512</v>
      </c>
      <c r="M96" s="27">
        <f t="shared" si="77"/>
        <v>502</v>
      </c>
      <c r="N96" s="27">
        <f t="shared" si="77"/>
        <v>526</v>
      </c>
      <c r="O96" s="27">
        <f t="shared" si="77"/>
        <v>528</v>
      </c>
      <c r="P96" s="27">
        <f t="shared" si="77"/>
        <v>532</v>
      </c>
      <c r="Q96" s="27">
        <f t="shared" si="77"/>
        <v>534</v>
      </c>
      <c r="R96" s="27">
        <f t="shared" si="77"/>
        <v>536</v>
      </c>
      <c r="S96" s="27">
        <f t="shared" si="77"/>
        <v>50</v>
      </c>
      <c r="T96" s="27">
        <f t="shared" si="77"/>
        <v>530</v>
      </c>
      <c r="U96" s="27">
        <f t="shared" si="77"/>
        <v>520</v>
      </c>
      <c r="V96" s="27">
        <f t="shared" si="77"/>
        <v>546</v>
      </c>
      <c r="W96" s="27">
        <f t="shared" si="77"/>
        <v>546</v>
      </c>
      <c r="Z96" s="27">
        <f t="shared" si="59"/>
        <v>230</v>
      </c>
      <c r="AA96" s="27">
        <f t="shared" ref="AA96:AS96" si="78">Z96+AA52-AA74</f>
        <v>230</v>
      </c>
      <c r="AB96" s="27">
        <f t="shared" si="78"/>
        <v>230</v>
      </c>
      <c r="AC96" s="27">
        <f t="shared" si="78"/>
        <v>230</v>
      </c>
      <c r="AD96" s="27">
        <f t="shared" si="78"/>
        <v>230</v>
      </c>
      <c r="AE96" s="27">
        <f t="shared" si="78"/>
        <v>230</v>
      </c>
      <c r="AF96" s="27">
        <f t="shared" si="78"/>
        <v>230</v>
      </c>
      <c r="AG96" s="27">
        <f t="shared" si="78"/>
        <v>0</v>
      </c>
      <c r="AH96" s="27">
        <f t="shared" si="78"/>
        <v>200</v>
      </c>
      <c r="AI96" s="27">
        <f t="shared" si="78"/>
        <v>200</v>
      </c>
      <c r="AJ96" s="27">
        <f t="shared" si="78"/>
        <v>202</v>
      </c>
      <c r="AK96" s="27">
        <f t="shared" si="78"/>
        <v>202</v>
      </c>
      <c r="AL96" s="27">
        <f t="shared" si="78"/>
        <v>204</v>
      </c>
      <c r="AM96" s="27">
        <f t="shared" si="78"/>
        <v>204</v>
      </c>
      <c r="AN96" s="27">
        <f t="shared" si="78"/>
        <v>206</v>
      </c>
      <c r="AO96" s="27">
        <f t="shared" si="78"/>
        <v>6</v>
      </c>
      <c r="AP96" s="27">
        <f t="shared" si="78"/>
        <v>208</v>
      </c>
      <c r="AQ96" s="27">
        <f t="shared" si="78"/>
        <v>206</v>
      </c>
      <c r="AR96" s="27">
        <f t="shared" si="78"/>
        <v>210</v>
      </c>
      <c r="AS96" s="27">
        <f t="shared" si="78"/>
        <v>208</v>
      </c>
    </row>
    <row r="97" spans="1:67" x14ac:dyDescent="0.25">
      <c r="A97" s="7" t="str">
        <v>Media resource function - software</v>
      </c>
      <c r="C97" s="10">
        <v>8</v>
      </c>
      <c r="D97" s="27">
        <f t="shared" si="57"/>
        <v>564</v>
      </c>
      <c r="E97" s="27">
        <f t="shared" ref="E97:W97" si="79">D97+E53-E75</f>
        <v>572</v>
      </c>
      <c r="F97" s="27">
        <f t="shared" si="79"/>
        <v>600</v>
      </c>
      <c r="G97" s="27">
        <f t="shared" si="79"/>
        <v>600</v>
      </c>
      <c r="H97" s="27">
        <f t="shared" si="79"/>
        <v>600</v>
      </c>
      <c r="I97" s="27">
        <f t="shared" si="79"/>
        <v>600</v>
      </c>
      <c r="J97" s="27">
        <f t="shared" si="79"/>
        <v>600</v>
      </c>
      <c r="K97" s="27">
        <f t="shared" si="79"/>
        <v>36</v>
      </c>
      <c r="L97" s="27">
        <f t="shared" si="79"/>
        <v>588</v>
      </c>
      <c r="M97" s="27">
        <f t="shared" si="79"/>
        <v>570</v>
      </c>
      <c r="N97" s="27">
        <f t="shared" si="79"/>
        <v>602</v>
      </c>
      <c r="O97" s="27">
        <f t="shared" si="79"/>
        <v>604</v>
      </c>
      <c r="P97" s="27">
        <f t="shared" si="79"/>
        <v>608</v>
      </c>
      <c r="Q97" s="27">
        <f t="shared" si="79"/>
        <v>610</v>
      </c>
      <c r="R97" s="27">
        <f t="shared" si="79"/>
        <v>614</v>
      </c>
      <c r="S97" s="27">
        <f t="shared" si="79"/>
        <v>56</v>
      </c>
      <c r="T97" s="27">
        <f t="shared" si="79"/>
        <v>610</v>
      </c>
      <c r="U97" s="27">
        <f t="shared" si="79"/>
        <v>590</v>
      </c>
      <c r="V97" s="27">
        <f t="shared" si="79"/>
        <v>624</v>
      </c>
      <c r="W97" s="27">
        <f t="shared" si="79"/>
        <v>624</v>
      </c>
      <c r="Z97" s="27">
        <f t="shared" si="59"/>
        <v>262</v>
      </c>
      <c r="AA97" s="27">
        <f t="shared" ref="AA97:AS97" si="80">Z97+AA53-AA75</f>
        <v>262</v>
      </c>
      <c r="AB97" s="27">
        <f t="shared" si="80"/>
        <v>262</v>
      </c>
      <c r="AC97" s="27">
        <f t="shared" si="80"/>
        <v>262</v>
      </c>
      <c r="AD97" s="27">
        <f t="shared" si="80"/>
        <v>262</v>
      </c>
      <c r="AE97" s="27">
        <f t="shared" si="80"/>
        <v>262</v>
      </c>
      <c r="AF97" s="27">
        <f t="shared" si="80"/>
        <v>262</v>
      </c>
      <c r="AG97" s="27">
        <f t="shared" si="80"/>
        <v>0</v>
      </c>
      <c r="AH97" s="27">
        <f t="shared" si="80"/>
        <v>228</v>
      </c>
      <c r="AI97" s="27">
        <f t="shared" si="80"/>
        <v>230</v>
      </c>
      <c r="AJ97" s="27">
        <f t="shared" si="80"/>
        <v>230</v>
      </c>
      <c r="AK97" s="27">
        <f t="shared" si="80"/>
        <v>232</v>
      </c>
      <c r="AL97" s="27">
        <f t="shared" si="80"/>
        <v>232</v>
      </c>
      <c r="AM97" s="27">
        <f t="shared" si="80"/>
        <v>234</v>
      </c>
      <c r="AN97" s="27">
        <f t="shared" si="80"/>
        <v>236</v>
      </c>
      <c r="AO97" s="27">
        <f t="shared" si="80"/>
        <v>8</v>
      </c>
      <c r="AP97" s="27">
        <f t="shared" si="80"/>
        <v>236</v>
      </c>
      <c r="AQ97" s="27">
        <f t="shared" si="80"/>
        <v>238</v>
      </c>
      <c r="AR97" s="27">
        <f t="shared" si="80"/>
        <v>238</v>
      </c>
      <c r="AS97" s="27">
        <f t="shared" si="80"/>
        <v>240</v>
      </c>
    </row>
    <row r="98" spans="1:67" x14ac:dyDescent="0.25">
      <c r="A98" s="7" t="str">
        <v>Access session border controller - hardware</v>
      </c>
      <c r="C98" s="10">
        <v>8</v>
      </c>
      <c r="D98" s="27">
        <f t="shared" si="57"/>
        <v>50</v>
      </c>
      <c r="E98" s="27">
        <f t="shared" ref="E98:W98" si="81">D98+E54-E76</f>
        <v>52</v>
      </c>
      <c r="F98" s="27">
        <f t="shared" si="81"/>
        <v>54</v>
      </c>
      <c r="G98" s="27">
        <f t="shared" si="81"/>
        <v>54</v>
      </c>
      <c r="H98" s="27">
        <f t="shared" si="81"/>
        <v>54</v>
      </c>
      <c r="I98" s="27">
        <f t="shared" si="81"/>
        <v>54</v>
      </c>
      <c r="J98" s="27">
        <f t="shared" si="81"/>
        <v>54</v>
      </c>
      <c r="K98" s="27">
        <f t="shared" si="81"/>
        <v>4</v>
      </c>
      <c r="L98" s="27">
        <f t="shared" si="81"/>
        <v>52</v>
      </c>
      <c r="M98" s="27">
        <f t="shared" si="81"/>
        <v>52</v>
      </c>
      <c r="N98" s="27">
        <f t="shared" si="81"/>
        <v>54</v>
      </c>
      <c r="O98" s="27">
        <f t="shared" si="81"/>
        <v>54</v>
      </c>
      <c r="P98" s="27">
        <f t="shared" si="81"/>
        <v>54</v>
      </c>
      <c r="Q98" s="27">
        <f t="shared" si="81"/>
        <v>54</v>
      </c>
      <c r="R98" s="27">
        <f t="shared" si="81"/>
        <v>54</v>
      </c>
      <c r="S98" s="27">
        <f t="shared" si="81"/>
        <v>4</v>
      </c>
      <c r="T98" s="27">
        <f t="shared" si="81"/>
        <v>54</v>
      </c>
      <c r="U98" s="27">
        <f t="shared" si="81"/>
        <v>54</v>
      </c>
      <c r="V98" s="27">
        <f t="shared" si="81"/>
        <v>56</v>
      </c>
      <c r="W98" s="27">
        <f t="shared" si="81"/>
        <v>56</v>
      </c>
      <c r="Z98" s="27">
        <f t="shared" si="59"/>
        <v>24</v>
      </c>
      <c r="AA98" s="27">
        <f t="shared" ref="AA98:AS98" si="82">Z98+AA54-AA76</f>
        <v>24</v>
      </c>
      <c r="AB98" s="27">
        <f t="shared" si="82"/>
        <v>24</v>
      </c>
      <c r="AC98" s="27">
        <f t="shared" si="82"/>
        <v>24</v>
      </c>
      <c r="AD98" s="27">
        <f t="shared" si="82"/>
        <v>24</v>
      </c>
      <c r="AE98" s="27">
        <f t="shared" si="82"/>
        <v>24</v>
      </c>
      <c r="AF98" s="27">
        <f t="shared" si="82"/>
        <v>24</v>
      </c>
      <c r="AG98" s="27">
        <f t="shared" si="82"/>
        <v>0</v>
      </c>
      <c r="AH98" s="27">
        <f t="shared" si="82"/>
        <v>20</v>
      </c>
      <c r="AI98" s="27">
        <f t="shared" si="82"/>
        <v>20</v>
      </c>
      <c r="AJ98" s="27">
        <f t="shared" si="82"/>
        <v>22</v>
      </c>
      <c r="AK98" s="27">
        <f t="shared" si="82"/>
        <v>22</v>
      </c>
      <c r="AL98" s="27">
        <f t="shared" si="82"/>
        <v>22</v>
      </c>
      <c r="AM98" s="27">
        <f t="shared" si="82"/>
        <v>22</v>
      </c>
      <c r="AN98" s="27">
        <f t="shared" si="82"/>
        <v>22</v>
      </c>
      <c r="AO98" s="27">
        <f t="shared" si="82"/>
        <v>2</v>
      </c>
      <c r="AP98" s="27">
        <f t="shared" si="82"/>
        <v>22</v>
      </c>
      <c r="AQ98" s="27">
        <f t="shared" si="82"/>
        <v>20</v>
      </c>
      <c r="AR98" s="27">
        <f t="shared" si="82"/>
        <v>22</v>
      </c>
      <c r="AS98" s="27">
        <f t="shared" si="82"/>
        <v>22</v>
      </c>
    </row>
    <row r="99" spans="1:67" x14ac:dyDescent="0.25">
      <c r="A99" s="7" t="str">
        <v>Access session border controller - software</v>
      </c>
      <c r="C99" s="10">
        <v>8</v>
      </c>
      <c r="D99" s="27">
        <f t="shared" si="57"/>
        <v>492</v>
      </c>
      <c r="E99" s="27">
        <f t="shared" ref="E99:W99" si="83">D99+E55-E77</f>
        <v>502</v>
      </c>
      <c r="F99" s="27">
        <f t="shared" si="83"/>
        <v>524</v>
      </c>
      <c r="G99" s="27">
        <f t="shared" si="83"/>
        <v>524</v>
      </c>
      <c r="H99" s="27">
        <f t="shared" si="83"/>
        <v>524</v>
      </c>
      <c r="I99" s="27">
        <f t="shared" si="83"/>
        <v>524</v>
      </c>
      <c r="J99" s="27">
        <f t="shared" si="83"/>
        <v>524</v>
      </c>
      <c r="K99" s="27">
        <f t="shared" si="83"/>
        <v>32</v>
      </c>
      <c r="L99" s="27">
        <f t="shared" si="83"/>
        <v>512</v>
      </c>
      <c r="M99" s="27">
        <f t="shared" si="83"/>
        <v>502</v>
      </c>
      <c r="N99" s="27">
        <f t="shared" si="83"/>
        <v>526</v>
      </c>
      <c r="O99" s="27">
        <f t="shared" si="83"/>
        <v>528</v>
      </c>
      <c r="P99" s="27">
        <f t="shared" si="83"/>
        <v>532</v>
      </c>
      <c r="Q99" s="27">
        <f t="shared" si="83"/>
        <v>534</v>
      </c>
      <c r="R99" s="27">
        <f t="shared" si="83"/>
        <v>536</v>
      </c>
      <c r="S99" s="27">
        <f t="shared" si="83"/>
        <v>50</v>
      </c>
      <c r="T99" s="27">
        <f t="shared" si="83"/>
        <v>530</v>
      </c>
      <c r="U99" s="27">
        <f t="shared" si="83"/>
        <v>520</v>
      </c>
      <c r="V99" s="27">
        <f t="shared" si="83"/>
        <v>546</v>
      </c>
      <c r="W99" s="27">
        <f t="shared" si="83"/>
        <v>546</v>
      </c>
      <c r="Z99" s="27">
        <f t="shared" si="59"/>
        <v>230</v>
      </c>
      <c r="AA99" s="27">
        <f t="shared" ref="AA99:AS99" si="84">Z99+AA55-AA77</f>
        <v>230</v>
      </c>
      <c r="AB99" s="27">
        <f t="shared" si="84"/>
        <v>230</v>
      </c>
      <c r="AC99" s="27">
        <f t="shared" si="84"/>
        <v>230</v>
      </c>
      <c r="AD99" s="27">
        <f t="shared" si="84"/>
        <v>230</v>
      </c>
      <c r="AE99" s="27">
        <f t="shared" si="84"/>
        <v>230</v>
      </c>
      <c r="AF99" s="27">
        <f t="shared" si="84"/>
        <v>230</v>
      </c>
      <c r="AG99" s="27">
        <f t="shared" si="84"/>
        <v>0</v>
      </c>
      <c r="AH99" s="27">
        <f t="shared" si="84"/>
        <v>200</v>
      </c>
      <c r="AI99" s="27">
        <f t="shared" si="84"/>
        <v>200</v>
      </c>
      <c r="AJ99" s="27">
        <f t="shared" si="84"/>
        <v>202</v>
      </c>
      <c r="AK99" s="27">
        <f t="shared" si="84"/>
        <v>202</v>
      </c>
      <c r="AL99" s="27">
        <f t="shared" si="84"/>
        <v>204</v>
      </c>
      <c r="AM99" s="27">
        <f t="shared" si="84"/>
        <v>204</v>
      </c>
      <c r="AN99" s="27">
        <f t="shared" si="84"/>
        <v>206</v>
      </c>
      <c r="AO99" s="27">
        <f t="shared" si="84"/>
        <v>6</v>
      </c>
      <c r="AP99" s="27">
        <f t="shared" si="84"/>
        <v>208</v>
      </c>
      <c r="AQ99" s="27">
        <f t="shared" si="84"/>
        <v>206</v>
      </c>
      <c r="AR99" s="27">
        <f t="shared" si="84"/>
        <v>210</v>
      </c>
      <c r="AS99" s="27">
        <f t="shared" si="84"/>
        <v>208</v>
      </c>
    </row>
    <row r="100" spans="1:67" x14ac:dyDescent="0.25">
      <c r="A100" s="7" t="str">
        <v>Internet exchange point session border controller - hardware</v>
      </c>
      <c r="C100" s="10">
        <v>8</v>
      </c>
      <c r="D100" s="27">
        <f t="shared" si="57"/>
        <v>42</v>
      </c>
      <c r="E100" s="27">
        <f t="shared" ref="E100:W100" si="85">D100+E56-E78</f>
        <v>42</v>
      </c>
      <c r="F100" s="27">
        <f t="shared" si="85"/>
        <v>46</v>
      </c>
      <c r="G100" s="27">
        <f t="shared" si="85"/>
        <v>46</v>
      </c>
      <c r="H100" s="27">
        <f t="shared" si="85"/>
        <v>46</v>
      </c>
      <c r="I100" s="27">
        <f t="shared" si="85"/>
        <v>46</v>
      </c>
      <c r="J100" s="27">
        <f t="shared" si="85"/>
        <v>46</v>
      </c>
      <c r="K100" s="27">
        <f t="shared" si="85"/>
        <v>4</v>
      </c>
      <c r="L100" s="27">
        <f t="shared" si="85"/>
        <v>46</v>
      </c>
      <c r="M100" s="27">
        <f t="shared" si="85"/>
        <v>42</v>
      </c>
      <c r="N100" s="27">
        <f t="shared" si="85"/>
        <v>46</v>
      </c>
      <c r="O100" s="27">
        <f t="shared" si="85"/>
        <v>46</v>
      </c>
      <c r="P100" s="27">
        <f t="shared" si="85"/>
        <v>46</v>
      </c>
      <c r="Q100" s="27">
        <f t="shared" si="85"/>
        <v>46</v>
      </c>
      <c r="R100" s="27">
        <f t="shared" si="85"/>
        <v>48</v>
      </c>
      <c r="S100" s="27">
        <f t="shared" si="85"/>
        <v>6</v>
      </c>
      <c r="T100" s="27">
        <f t="shared" si="85"/>
        <v>48</v>
      </c>
      <c r="U100" s="27">
        <f t="shared" si="85"/>
        <v>44</v>
      </c>
      <c r="V100" s="27">
        <f t="shared" si="85"/>
        <v>48</v>
      </c>
      <c r="W100" s="27">
        <f t="shared" si="85"/>
        <v>48</v>
      </c>
      <c r="Z100" s="27">
        <f t="shared" si="59"/>
        <v>16</v>
      </c>
      <c r="AA100" s="27">
        <f t="shared" ref="AA100:AS100" si="86">Z100+AA56-AA78</f>
        <v>16</v>
      </c>
      <c r="AB100" s="27">
        <f t="shared" si="86"/>
        <v>16</v>
      </c>
      <c r="AC100" s="27">
        <f t="shared" si="86"/>
        <v>16</v>
      </c>
      <c r="AD100" s="27">
        <f t="shared" si="86"/>
        <v>16</v>
      </c>
      <c r="AE100" s="27">
        <f t="shared" si="86"/>
        <v>16</v>
      </c>
      <c r="AF100" s="27">
        <f t="shared" si="86"/>
        <v>16</v>
      </c>
      <c r="AG100" s="27">
        <f t="shared" si="86"/>
        <v>0</v>
      </c>
      <c r="AH100" s="27">
        <f t="shared" si="86"/>
        <v>14</v>
      </c>
      <c r="AI100" s="27">
        <f t="shared" si="86"/>
        <v>14</v>
      </c>
      <c r="AJ100" s="27">
        <f t="shared" si="86"/>
        <v>14</v>
      </c>
      <c r="AK100" s="27">
        <f t="shared" si="86"/>
        <v>14</v>
      </c>
      <c r="AL100" s="27">
        <f t="shared" si="86"/>
        <v>14</v>
      </c>
      <c r="AM100" s="27">
        <f t="shared" si="86"/>
        <v>14</v>
      </c>
      <c r="AN100" s="27">
        <f t="shared" si="86"/>
        <v>14</v>
      </c>
      <c r="AO100" s="27">
        <f t="shared" si="86"/>
        <v>0</v>
      </c>
      <c r="AP100" s="27">
        <f t="shared" si="86"/>
        <v>14</v>
      </c>
      <c r="AQ100" s="27">
        <f t="shared" si="86"/>
        <v>14</v>
      </c>
      <c r="AR100" s="27">
        <f t="shared" si="86"/>
        <v>14</v>
      </c>
      <c r="AS100" s="27">
        <f t="shared" si="86"/>
        <v>14</v>
      </c>
    </row>
    <row r="101" spans="1:67" x14ac:dyDescent="0.25">
      <c r="A101" s="7" t="str">
        <v>Internet exchange point session border controller - software</v>
      </c>
      <c r="C101" s="10">
        <v>8</v>
      </c>
      <c r="D101" s="27">
        <f t="shared" si="57"/>
        <v>84</v>
      </c>
      <c r="E101" s="27">
        <f>D101+E57-E79</f>
        <v>84</v>
      </c>
      <c r="F101" s="27">
        <f t="shared" ref="F101:W101" si="87">E101+F57-F79</f>
        <v>90</v>
      </c>
      <c r="G101" s="27">
        <f t="shared" si="87"/>
        <v>90</v>
      </c>
      <c r="H101" s="27">
        <f t="shared" si="87"/>
        <v>90</v>
      </c>
      <c r="I101" s="27">
        <f t="shared" si="87"/>
        <v>90</v>
      </c>
      <c r="J101" s="27">
        <f t="shared" si="87"/>
        <v>90</v>
      </c>
      <c r="K101" s="27">
        <f t="shared" si="87"/>
        <v>6</v>
      </c>
      <c r="L101" s="27">
        <f t="shared" si="87"/>
        <v>90</v>
      </c>
      <c r="M101" s="27">
        <f t="shared" si="87"/>
        <v>84</v>
      </c>
      <c r="N101" s="27">
        <f t="shared" si="87"/>
        <v>92</v>
      </c>
      <c r="O101" s="27">
        <f t="shared" si="87"/>
        <v>92</v>
      </c>
      <c r="P101" s="27">
        <f t="shared" si="87"/>
        <v>92</v>
      </c>
      <c r="Q101" s="27">
        <f t="shared" si="87"/>
        <v>92</v>
      </c>
      <c r="R101" s="27">
        <f t="shared" si="87"/>
        <v>94</v>
      </c>
      <c r="S101" s="27">
        <f t="shared" si="87"/>
        <v>10</v>
      </c>
      <c r="T101" s="27">
        <f t="shared" si="87"/>
        <v>94</v>
      </c>
      <c r="U101" s="27">
        <f t="shared" si="87"/>
        <v>86</v>
      </c>
      <c r="V101" s="27">
        <f t="shared" si="87"/>
        <v>94</v>
      </c>
      <c r="W101" s="27">
        <f t="shared" si="87"/>
        <v>96</v>
      </c>
      <c r="X101" s="16"/>
      <c r="Z101" s="27">
        <f t="shared" si="59"/>
        <v>30</v>
      </c>
      <c r="AA101" s="27">
        <f t="shared" ref="AA101:AS101" si="88">Z101+AA57-AA79</f>
        <v>30</v>
      </c>
      <c r="AB101" s="27">
        <f t="shared" si="88"/>
        <v>30</v>
      </c>
      <c r="AC101" s="27">
        <f t="shared" si="88"/>
        <v>30</v>
      </c>
      <c r="AD101" s="27">
        <f t="shared" si="88"/>
        <v>30</v>
      </c>
      <c r="AE101" s="27">
        <f t="shared" si="88"/>
        <v>30</v>
      </c>
      <c r="AF101" s="27">
        <f t="shared" si="88"/>
        <v>30</v>
      </c>
      <c r="AG101" s="27">
        <f t="shared" si="88"/>
        <v>0</v>
      </c>
      <c r="AH101" s="27">
        <f t="shared" si="88"/>
        <v>26</v>
      </c>
      <c r="AI101" s="27">
        <f t="shared" si="88"/>
        <v>26</v>
      </c>
      <c r="AJ101" s="27">
        <f t="shared" si="88"/>
        <v>26</v>
      </c>
      <c r="AK101" s="27">
        <f t="shared" si="88"/>
        <v>26</v>
      </c>
      <c r="AL101" s="27">
        <f t="shared" si="88"/>
        <v>26</v>
      </c>
      <c r="AM101" s="27">
        <f t="shared" si="88"/>
        <v>26</v>
      </c>
      <c r="AN101" s="27">
        <f t="shared" si="88"/>
        <v>26</v>
      </c>
      <c r="AO101" s="27">
        <f t="shared" si="88"/>
        <v>0</v>
      </c>
      <c r="AP101" s="27">
        <f t="shared" si="88"/>
        <v>28</v>
      </c>
      <c r="AQ101" s="27">
        <f t="shared" si="88"/>
        <v>28</v>
      </c>
      <c r="AR101" s="27">
        <f t="shared" si="88"/>
        <v>28</v>
      </c>
      <c r="AS101" s="27">
        <f t="shared" si="88"/>
        <v>28</v>
      </c>
      <c r="AT101" s="16"/>
      <c r="AW101" s="115"/>
    </row>
    <row r="103" spans="1:67" x14ac:dyDescent="0.25">
      <c r="A103" s="30" t="s">
        <v>371</v>
      </c>
    </row>
    <row r="105" spans="1:67" x14ac:dyDescent="0.25">
      <c r="A105" s="13" t="s">
        <v>376</v>
      </c>
    </row>
    <row r="106" spans="1:67" x14ac:dyDescent="0.25">
      <c r="D106" s="49" t="s">
        <v>99</v>
      </c>
      <c r="E106" s="50"/>
      <c r="F106" s="50"/>
      <c r="G106" s="50"/>
      <c r="H106" s="50"/>
      <c r="I106" s="50"/>
      <c r="J106" s="50"/>
      <c r="K106" s="50"/>
      <c r="L106" s="50"/>
      <c r="M106" s="50"/>
      <c r="N106" s="50"/>
      <c r="O106" s="50"/>
      <c r="P106" s="50"/>
      <c r="Q106" s="50"/>
      <c r="R106" s="50"/>
      <c r="S106" s="50"/>
      <c r="T106" s="50"/>
      <c r="U106" s="50"/>
      <c r="V106" s="50"/>
      <c r="W106" s="50"/>
      <c r="Z106" s="49" t="s">
        <v>131</v>
      </c>
      <c r="AA106" s="50"/>
      <c r="AB106" s="50"/>
      <c r="AC106" s="50"/>
      <c r="AD106" s="50"/>
      <c r="AE106" s="50"/>
      <c r="AF106" s="50"/>
      <c r="AG106" s="50"/>
      <c r="AH106" s="50"/>
      <c r="AI106" s="50"/>
      <c r="AJ106" s="50"/>
      <c r="AK106" s="50"/>
      <c r="AL106" s="50"/>
      <c r="AM106" s="50"/>
      <c r="AN106" s="50"/>
      <c r="AO106" s="50"/>
      <c r="AP106" s="50"/>
      <c r="AQ106" s="50"/>
      <c r="AR106" s="50"/>
      <c r="AS106" s="50"/>
      <c r="AV106" s="49" t="s">
        <v>382</v>
      </c>
      <c r="AW106" s="50"/>
      <c r="AX106" s="50"/>
      <c r="AY106" s="50"/>
      <c r="AZ106" s="50"/>
      <c r="BA106" s="50"/>
      <c r="BB106" s="50"/>
      <c r="BC106" s="50"/>
      <c r="BD106" s="50"/>
      <c r="BE106" s="50"/>
      <c r="BF106" s="50"/>
      <c r="BG106" s="50"/>
      <c r="BH106" s="50"/>
      <c r="BI106" s="50"/>
      <c r="BJ106" s="50"/>
      <c r="BK106" s="50"/>
      <c r="BL106" s="50"/>
      <c r="BM106" s="50"/>
      <c r="BN106" s="50"/>
      <c r="BO106" s="50"/>
    </row>
    <row r="107" spans="1:67" x14ac:dyDescent="0.25">
      <c r="B107" s="16"/>
      <c r="C107" s="16"/>
      <c r="D107" s="13">
        <v>1</v>
      </c>
      <c r="E107" s="13">
        <v>2</v>
      </c>
      <c r="F107" s="13">
        <v>3</v>
      </c>
      <c r="G107" s="13">
        <v>4</v>
      </c>
      <c r="H107" s="13">
        <v>5</v>
      </c>
      <c r="I107" s="13">
        <v>6</v>
      </c>
      <c r="J107" s="13">
        <v>7</v>
      </c>
      <c r="K107" s="13">
        <v>8</v>
      </c>
      <c r="L107" s="13">
        <v>9</v>
      </c>
      <c r="M107" s="13">
        <v>10</v>
      </c>
      <c r="N107" s="13">
        <v>11</v>
      </c>
      <c r="O107" s="13">
        <v>12</v>
      </c>
      <c r="P107" s="13">
        <v>13</v>
      </c>
      <c r="Q107" s="13">
        <v>14</v>
      </c>
      <c r="R107" s="13">
        <v>15</v>
      </c>
      <c r="S107" s="13">
        <v>16</v>
      </c>
      <c r="T107" s="13">
        <v>17</v>
      </c>
      <c r="U107" s="13">
        <v>18</v>
      </c>
      <c r="V107" s="13">
        <v>19</v>
      </c>
      <c r="W107" s="13">
        <v>20</v>
      </c>
      <c r="Z107" s="19" cm="1">
        <f t="array" ref="Z107:AS107">time_index</f>
        <v>1</v>
      </c>
      <c r="AA107">
        <v>2</v>
      </c>
      <c r="AB107" s="13">
        <v>3</v>
      </c>
      <c r="AC107" s="13">
        <v>4</v>
      </c>
      <c r="AD107" s="13">
        <v>5</v>
      </c>
      <c r="AE107" s="13">
        <v>6</v>
      </c>
      <c r="AF107" s="13">
        <v>7</v>
      </c>
      <c r="AG107" s="13">
        <v>8</v>
      </c>
      <c r="AH107" s="13">
        <v>9</v>
      </c>
      <c r="AI107" s="13">
        <v>10</v>
      </c>
      <c r="AJ107" s="13">
        <v>11</v>
      </c>
      <c r="AK107" s="13">
        <v>12</v>
      </c>
      <c r="AL107" s="13">
        <v>13</v>
      </c>
      <c r="AM107" s="13">
        <v>14</v>
      </c>
      <c r="AN107" s="13">
        <v>15</v>
      </c>
      <c r="AO107" s="13">
        <v>16</v>
      </c>
      <c r="AP107" s="13">
        <v>17</v>
      </c>
      <c r="AQ107" s="13">
        <v>18</v>
      </c>
      <c r="AR107" s="13">
        <v>19</v>
      </c>
      <c r="AS107" s="13">
        <v>20</v>
      </c>
      <c r="AV107" s="13" cm="1">
        <f t="array" ref="AV107:BO107">time_index</f>
        <v>1</v>
      </c>
      <c r="AW107" s="13">
        <v>2</v>
      </c>
      <c r="AX107" s="13">
        <v>3</v>
      </c>
      <c r="AY107" s="13">
        <v>4</v>
      </c>
      <c r="AZ107" s="13">
        <v>5</v>
      </c>
      <c r="BA107" s="13">
        <v>6</v>
      </c>
      <c r="BB107" s="13">
        <v>7</v>
      </c>
      <c r="BC107" s="13">
        <v>8</v>
      </c>
      <c r="BD107" s="13">
        <v>9</v>
      </c>
      <c r="BE107" s="13">
        <v>10</v>
      </c>
      <c r="BF107" s="13">
        <v>11</v>
      </c>
      <c r="BG107" s="13">
        <v>12</v>
      </c>
      <c r="BH107" s="13">
        <v>13</v>
      </c>
      <c r="BI107" s="13">
        <v>14</v>
      </c>
      <c r="BJ107" s="13">
        <v>15</v>
      </c>
      <c r="BK107" s="13">
        <v>16</v>
      </c>
      <c r="BL107" s="13">
        <v>17</v>
      </c>
      <c r="BM107" s="13">
        <v>18</v>
      </c>
      <c r="BN107" s="13">
        <v>19</v>
      </c>
      <c r="BO107" s="13">
        <v>20</v>
      </c>
    </row>
    <row r="108" spans="1:67" ht="30" x14ac:dyDescent="0.25">
      <c r="A108" s="130"/>
      <c r="C108" s="57" t="s">
        <v>156</v>
      </c>
      <c r="D108" s="53" cm="1">
        <f t="array" ref="D108:W108">years</f>
        <v>2018</v>
      </c>
      <c r="E108" s="53">
        <v>2019</v>
      </c>
      <c r="F108" s="53">
        <v>2020</v>
      </c>
      <c r="G108" s="53">
        <v>2021</v>
      </c>
      <c r="H108" s="53">
        <v>2022</v>
      </c>
      <c r="I108" s="53">
        <v>2023</v>
      </c>
      <c r="J108" s="53">
        <v>2024</v>
      </c>
      <c r="K108" s="53">
        <v>2025</v>
      </c>
      <c r="L108" s="53">
        <v>2026</v>
      </c>
      <c r="M108" s="53">
        <v>2027</v>
      </c>
      <c r="N108" s="53">
        <v>2028</v>
      </c>
      <c r="O108" s="53">
        <v>2029</v>
      </c>
      <c r="P108" s="53">
        <v>2030</v>
      </c>
      <c r="Q108" s="53">
        <v>2031</v>
      </c>
      <c r="R108" s="53">
        <v>2032</v>
      </c>
      <c r="S108" s="53">
        <v>2033</v>
      </c>
      <c r="T108" s="53">
        <v>2034</v>
      </c>
      <c r="U108" s="53">
        <v>2035</v>
      </c>
      <c r="V108" s="53">
        <v>2036</v>
      </c>
      <c r="W108" s="53">
        <v>2037</v>
      </c>
      <c r="Z108" s="235" cm="1">
        <f t="array" ref="Z108:AS108">years</f>
        <v>2018</v>
      </c>
      <c r="AA108" s="54">
        <v>2019</v>
      </c>
      <c r="AB108" s="53">
        <v>2020</v>
      </c>
      <c r="AC108" s="53">
        <v>2021</v>
      </c>
      <c r="AD108" s="53">
        <v>2022</v>
      </c>
      <c r="AE108" s="53">
        <v>2023</v>
      </c>
      <c r="AF108" s="53">
        <v>2024</v>
      </c>
      <c r="AG108" s="53">
        <v>2025</v>
      </c>
      <c r="AH108" s="53">
        <v>2026</v>
      </c>
      <c r="AI108" s="53">
        <v>2027</v>
      </c>
      <c r="AJ108" s="53">
        <v>2028</v>
      </c>
      <c r="AK108" s="53">
        <v>2029</v>
      </c>
      <c r="AL108" s="53">
        <v>2030</v>
      </c>
      <c r="AM108" s="53">
        <v>2031</v>
      </c>
      <c r="AN108" s="53">
        <v>2032</v>
      </c>
      <c r="AO108" s="53">
        <v>2033</v>
      </c>
      <c r="AP108" s="53">
        <v>2034</v>
      </c>
      <c r="AQ108" s="53">
        <v>2035</v>
      </c>
      <c r="AR108" s="53">
        <v>2036</v>
      </c>
      <c r="AS108" s="53">
        <v>2037</v>
      </c>
      <c r="AV108" s="203" cm="1">
        <f t="array" ref="AV108:BO108">years</f>
        <v>2018</v>
      </c>
      <c r="AW108" s="203">
        <v>2019</v>
      </c>
      <c r="AX108" s="203">
        <v>2020</v>
      </c>
      <c r="AY108" s="203">
        <v>2021</v>
      </c>
      <c r="AZ108" s="203">
        <v>2022</v>
      </c>
      <c r="BA108" s="203">
        <v>2023</v>
      </c>
      <c r="BB108" s="203">
        <v>2024</v>
      </c>
      <c r="BC108" s="203">
        <v>2025</v>
      </c>
      <c r="BD108" s="203">
        <v>2026</v>
      </c>
      <c r="BE108" s="203">
        <v>2027</v>
      </c>
      <c r="BF108" s="203">
        <v>2028</v>
      </c>
      <c r="BG108" s="203">
        <v>2029</v>
      </c>
      <c r="BH108" s="203">
        <v>2030</v>
      </c>
      <c r="BI108" s="203">
        <v>2031</v>
      </c>
      <c r="BJ108" s="203">
        <v>2032</v>
      </c>
      <c r="BK108" s="203">
        <v>2033</v>
      </c>
      <c r="BL108" s="203">
        <v>2034</v>
      </c>
      <c r="BM108" s="203">
        <v>2035</v>
      </c>
      <c r="BN108" s="203">
        <v>2036</v>
      </c>
      <c r="BO108" s="203">
        <v>2037</v>
      </c>
    </row>
    <row r="109" spans="1:67" x14ac:dyDescent="0.25">
      <c r="A109" s="7" t="str" cm="1">
        <f t="array" ref="A109:A124">core_elements</f>
        <v>Application server hardware</v>
      </c>
      <c r="C109" s="10">
        <v>8</v>
      </c>
      <c r="D109" s="27">
        <f>D15</f>
        <v>4</v>
      </c>
      <c r="E109" s="27">
        <f>D86+E42</f>
        <v>4</v>
      </c>
      <c r="F109" s="27">
        <f>E86+F42</f>
        <v>4</v>
      </c>
      <c r="G109" s="27">
        <f t="shared" ref="F109:W123" si="89">F86+G42</f>
        <v>4</v>
      </c>
      <c r="H109" s="27">
        <f t="shared" si="89"/>
        <v>4</v>
      </c>
      <c r="I109" s="27">
        <f t="shared" si="89"/>
        <v>4</v>
      </c>
      <c r="J109" s="27">
        <f t="shared" si="89"/>
        <v>4</v>
      </c>
      <c r="K109" s="27">
        <f t="shared" si="89"/>
        <v>4</v>
      </c>
      <c r="L109" s="27">
        <f t="shared" si="89"/>
        <v>4</v>
      </c>
      <c r="M109" s="27">
        <f t="shared" si="89"/>
        <v>4</v>
      </c>
      <c r="N109" s="27">
        <f t="shared" si="89"/>
        <v>4</v>
      </c>
      <c r="O109" s="27">
        <f t="shared" si="89"/>
        <v>4</v>
      </c>
      <c r="P109" s="27">
        <f t="shared" si="89"/>
        <v>4</v>
      </c>
      <c r="Q109" s="27">
        <f t="shared" si="89"/>
        <v>4</v>
      </c>
      <c r="R109" s="27">
        <f t="shared" si="89"/>
        <v>4</v>
      </c>
      <c r="S109" s="27">
        <f t="shared" si="89"/>
        <v>4</v>
      </c>
      <c r="T109" s="27">
        <f t="shared" si="89"/>
        <v>4</v>
      </c>
      <c r="U109" s="27">
        <f t="shared" si="89"/>
        <v>4</v>
      </c>
      <c r="V109" s="27">
        <f t="shared" si="89"/>
        <v>4</v>
      </c>
      <c r="W109" s="27">
        <f t="shared" si="89"/>
        <v>4</v>
      </c>
      <c r="Z109" s="27">
        <f>Z15</f>
        <v>2</v>
      </c>
      <c r="AA109" s="27">
        <f t="shared" ref="AA109:AP123" si="90">Z86+AA42</f>
        <v>2</v>
      </c>
      <c r="AB109" s="27">
        <f t="shared" si="90"/>
        <v>2</v>
      </c>
      <c r="AC109" s="27">
        <f t="shared" si="90"/>
        <v>2</v>
      </c>
      <c r="AD109" s="27">
        <f t="shared" si="90"/>
        <v>2</v>
      </c>
      <c r="AE109" s="27">
        <f t="shared" si="90"/>
        <v>2</v>
      </c>
      <c r="AF109" s="27">
        <f t="shared" si="90"/>
        <v>2</v>
      </c>
      <c r="AG109" s="27">
        <f t="shared" si="90"/>
        <v>2</v>
      </c>
      <c r="AH109" s="27">
        <f t="shared" si="90"/>
        <v>2</v>
      </c>
      <c r="AI109" s="27">
        <f t="shared" si="90"/>
        <v>2</v>
      </c>
      <c r="AJ109" s="27">
        <f t="shared" si="90"/>
        <v>2</v>
      </c>
      <c r="AK109" s="27">
        <f t="shared" si="90"/>
        <v>2</v>
      </c>
      <c r="AL109" s="27">
        <f t="shared" si="90"/>
        <v>2</v>
      </c>
      <c r="AM109" s="27">
        <f t="shared" si="90"/>
        <v>2</v>
      </c>
      <c r="AN109" s="27">
        <f t="shared" si="90"/>
        <v>2</v>
      </c>
      <c r="AO109" s="27">
        <f t="shared" si="90"/>
        <v>2</v>
      </c>
      <c r="AP109" s="27">
        <f t="shared" si="90"/>
        <v>2</v>
      </c>
      <c r="AQ109" s="27">
        <f t="shared" ref="AB109:AS123" si="91">AP86+AQ42</f>
        <v>2</v>
      </c>
      <c r="AR109" s="27">
        <f t="shared" si="91"/>
        <v>2</v>
      </c>
      <c r="AS109" s="27">
        <f t="shared" si="91"/>
        <v>2</v>
      </c>
      <c r="AV109" s="17">
        <f>D109-Z109</f>
        <v>2</v>
      </c>
      <c r="AW109" s="17">
        <f t="shared" ref="AW109:BO122" si="92">E109-AA109</f>
        <v>2</v>
      </c>
      <c r="AX109" s="17">
        <f t="shared" si="92"/>
        <v>2</v>
      </c>
      <c r="AY109" s="17">
        <f t="shared" si="92"/>
        <v>2</v>
      </c>
      <c r="AZ109" s="17">
        <f t="shared" si="92"/>
        <v>2</v>
      </c>
      <c r="BA109" s="17">
        <f t="shared" si="92"/>
        <v>2</v>
      </c>
      <c r="BB109" s="17">
        <f t="shared" si="92"/>
        <v>2</v>
      </c>
      <c r="BC109" s="17">
        <f t="shared" si="92"/>
        <v>2</v>
      </c>
      <c r="BD109" s="17">
        <f t="shared" si="92"/>
        <v>2</v>
      </c>
      <c r="BE109" s="17">
        <f t="shared" si="92"/>
        <v>2</v>
      </c>
      <c r="BF109" s="17">
        <f t="shared" si="92"/>
        <v>2</v>
      </c>
      <c r="BG109" s="17">
        <f t="shared" si="92"/>
        <v>2</v>
      </c>
      <c r="BH109" s="17">
        <f t="shared" si="92"/>
        <v>2</v>
      </c>
      <c r="BI109" s="17">
        <f t="shared" si="92"/>
        <v>2</v>
      </c>
      <c r="BJ109" s="17">
        <f t="shared" si="92"/>
        <v>2</v>
      </c>
      <c r="BK109" s="17">
        <f t="shared" si="92"/>
        <v>2</v>
      </c>
      <c r="BL109" s="17">
        <f t="shared" si="92"/>
        <v>2</v>
      </c>
      <c r="BM109" s="17">
        <f t="shared" si="92"/>
        <v>2</v>
      </c>
      <c r="BN109" s="17">
        <f t="shared" si="92"/>
        <v>2</v>
      </c>
      <c r="BO109" s="17">
        <f t="shared" si="92"/>
        <v>2</v>
      </c>
    </row>
    <row r="110" spans="1:67" x14ac:dyDescent="0.25">
      <c r="A110" s="7" t="str">
        <v>Application server software</v>
      </c>
      <c r="C110" s="10">
        <v>8</v>
      </c>
      <c r="D110" s="27">
        <f t="shared" ref="D110:D124" si="93">D16</f>
        <v>4</v>
      </c>
      <c r="E110" s="27">
        <f t="shared" ref="E110:T124" si="94">D87+E43</f>
        <v>4</v>
      </c>
      <c r="F110" s="27">
        <f t="shared" si="94"/>
        <v>4</v>
      </c>
      <c r="G110" s="27">
        <f t="shared" si="94"/>
        <v>4</v>
      </c>
      <c r="H110" s="27">
        <f t="shared" si="94"/>
        <v>4</v>
      </c>
      <c r="I110" s="27">
        <f t="shared" si="94"/>
        <v>4</v>
      </c>
      <c r="J110" s="27">
        <f t="shared" si="94"/>
        <v>4</v>
      </c>
      <c r="K110" s="27">
        <f t="shared" si="94"/>
        <v>4</v>
      </c>
      <c r="L110" s="27">
        <f t="shared" si="94"/>
        <v>4</v>
      </c>
      <c r="M110" s="27">
        <f t="shared" si="94"/>
        <v>4</v>
      </c>
      <c r="N110" s="27">
        <f t="shared" si="94"/>
        <v>4</v>
      </c>
      <c r="O110" s="27">
        <f t="shared" si="94"/>
        <v>4</v>
      </c>
      <c r="P110" s="27">
        <f t="shared" si="94"/>
        <v>4</v>
      </c>
      <c r="Q110" s="27">
        <f t="shared" si="94"/>
        <v>4</v>
      </c>
      <c r="R110" s="27">
        <f t="shared" si="94"/>
        <v>4</v>
      </c>
      <c r="S110" s="27">
        <f t="shared" si="94"/>
        <v>4</v>
      </c>
      <c r="T110" s="27">
        <f t="shared" si="94"/>
        <v>4</v>
      </c>
      <c r="U110" s="27">
        <f t="shared" si="89"/>
        <v>4</v>
      </c>
      <c r="V110" s="27">
        <f t="shared" si="89"/>
        <v>4</v>
      </c>
      <c r="W110" s="27">
        <f t="shared" si="89"/>
        <v>4</v>
      </c>
      <c r="Z110" s="27">
        <f t="shared" ref="Z110:Z124" si="95">Z16</f>
        <v>2</v>
      </c>
      <c r="AA110" s="27">
        <f t="shared" si="90"/>
        <v>2</v>
      </c>
      <c r="AB110" s="27">
        <f t="shared" si="91"/>
        <v>2</v>
      </c>
      <c r="AC110" s="27">
        <f t="shared" si="91"/>
        <v>2</v>
      </c>
      <c r="AD110" s="27">
        <f t="shared" si="91"/>
        <v>2</v>
      </c>
      <c r="AE110" s="27">
        <f t="shared" si="91"/>
        <v>2</v>
      </c>
      <c r="AF110" s="27">
        <f t="shared" si="91"/>
        <v>2</v>
      </c>
      <c r="AG110" s="27">
        <f t="shared" si="91"/>
        <v>2</v>
      </c>
      <c r="AH110" s="27">
        <f t="shared" si="91"/>
        <v>2</v>
      </c>
      <c r="AI110" s="27">
        <f t="shared" si="91"/>
        <v>2</v>
      </c>
      <c r="AJ110" s="27">
        <f t="shared" si="91"/>
        <v>2</v>
      </c>
      <c r="AK110" s="27">
        <f t="shared" si="91"/>
        <v>2</v>
      </c>
      <c r="AL110" s="27">
        <f t="shared" si="91"/>
        <v>2</v>
      </c>
      <c r="AM110" s="27">
        <f t="shared" si="91"/>
        <v>2</v>
      </c>
      <c r="AN110" s="27">
        <f t="shared" si="91"/>
        <v>2</v>
      </c>
      <c r="AO110" s="27">
        <f t="shared" si="91"/>
        <v>2</v>
      </c>
      <c r="AP110" s="27">
        <f t="shared" si="91"/>
        <v>2</v>
      </c>
      <c r="AQ110" s="27">
        <f t="shared" si="91"/>
        <v>2</v>
      </c>
      <c r="AR110" s="27">
        <f t="shared" si="91"/>
        <v>2</v>
      </c>
      <c r="AS110" s="27">
        <f t="shared" si="91"/>
        <v>2</v>
      </c>
      <c r="AV110" s="17">
        <f t="shared" ref="AV110:AV124" si="96">D110-Z110</f>
        <v>2</v>
      </c>
      <c r="AW110" s="17">
        <f t="shared" si="92"/>
        <v>2</v>
      </c>
      <c r="AX110" s="17">
        <f t="shared" si="92"/>
        <v>2</v>
      </c>
      <c r="AY110" s="17">
        <f t="shared" si="92"/>
        <v>2</v>
      </c>
      <c r="AZ110" s="17">
        <f t="shared" si="92"/>
        <v>2</v>
      </c>
      <c r="BA110" s="17">
        <f t="shared" si="92"/>
        <v>2</v>
      </c>
      <c r="BB110" s="17">
        <f t="shared" si="92"/>
        <v>2</v>
      </c>
      <c r="BC110" s="17">
        <f t="shared" si="92"/>
        <v>2</v>
      </c>
      <c r="BD110" s="17">
        <f t="shared" si="92"/>
        <v>2</v>
      </c>
      <c r="BE110" s="17">
        <f t="shared" si="92"/>
        <v>2</v>
      </c>
      <c r="BF110" s="17">
        <f t="shared" si="92"/>
        <v>2</v>
      </c>
      <c r="BG110" s="17">
        <f t="shared" si="92"/>
        <v>2</v>
      </c>
      <c r="BH110" s="17">
        <f t="shared" si="92"/>
        <v>2</v>
      </c>
      <c r="BI110" s="17">
        <f t="shared" si="92"/>
        <v>2</v>
      </c>
      <c r="BJ110" s="17">
        <f t="shared" si="92"/>
        <v>2</v>
      </c>
      <c r="BK110" s="17">
        <f t="shared" si="92"/>
        <v>2</v>
      </c>
      <c r="BL110" s="17">
        <f t="shared" si="92"/>
        <v>2</v>
      </c>
      <c r="BM110" s="17">
        <f t="shared" si="92"/>
        <v>2</v>
      </c>
      <c r="BN110" s="17">
        <f t="shared" si="92"/>
        <v>2</v>
      </c>
      <c r="BO110" s="17">
        <f t="shared" si="92"/>
        <v>2</v>
      </c>
    </row>
    <row r="111" spans="1:67" x14ac:dyDescent="0.25">
      <c r="A111" s="7" t="str">
        <v>Charging data function hardware</v>
      </c>
      <c r="C111" s="10">
        <v>8</v>
      </c>
      <c r="D111" s="27">
        <f t="shared" si="93"/>
        <v>2</v>
      </c>
      <c r="E111" s="27">
        <f t="shared" si="94"/>
        <v>2</v>
      </c>
      <c r="F111" s="27">
        <f t="shared" si="89"/>
        <v>2</v>
      </c>
      <c r="G111" s="27">
        <f t="shared" si="89"/>
        <v>2</v>
      </c>
      <c r="H111" s="27">
        <f t="shared" si="89"/>
        <v>2</v>
      </c>
      <c r="I111" s="27">
        <f t="shared" si="89"/>
        <v>2</v>
      </c>
      <c r="J111" s="27">
        <f t="shared" si="89"/>
        <v>2</v>
      </c>
      <c r="K111" s="27">
        <f t="shared" si="89"/>
        <v>2</v>
      </c>
      <c r="L111" s="27">
        <f t="shared" si="89"/>
        <v>2</v>
      </c>
      <c r="M111" s="27">
        <f t="shared" si="89"/>
        <v>2</v>
      </c>
      <c r="N111" s="27">
        <f t="shared" si="89"/>
        <v>2</v>
      </c>
      <c r="O111" s="27">
        <f t="shared" si="89"/>
        <v>2</v>
      </c>
      <c r="P111" s="27">
        <f t="shared" si="89"/>
        <v>2</v>
      </c>
      <c r="Q111" s="27">
        <f t="shared" si="89"/>
        <v>2</v>
      </c>
      <c r="R111" s="27">
        <f t="shared" si="89"/>
        <v>2</v>
      </c>
      <c r="S111" s="27">
        <f t="shared" si="89"/>
        <v>2</v>
      </c>
      <c r="T111" s="27">
        <f t="shared" si="89"/>
        <v>2</v>
      </c>
      <c r="U111" s="27">
        <f t="shared" si="89"/>
        <v>2</v>
      </c>
      <c r="V111" s="27">
        <f t="shared" si="89"/>
        <v>2</v>
      </c>
      <c r="W111" s="27">
        <f t="shared" si="89"/>
        <v>2</v>
      </c>
      <c r="Z111" s="27">
        <f t="shared" si="95"/>
        <v>2</v>
      </c>
      <c r="AA111" s="27">
        <f t="shared" si="90"/>
        <v>2</v>
      </c>
      <c r="AB111" s="27">
        <f t="shared" si="91"/>
        <v>2</v>
      </c>
      <c r="AC111" s="27">
        <f t="shared" si="91"/>
        <v>2</v>
      </c>
      <c r="AD111" s="27">
        <f t="shared" si="91"/>
        <v>2</v>
      </c>
      <c r="AE111" s="27">
        <f t="shared" si="91"/>
        <v>2</v>
      </c>
      <c r="AF111" s="27">
        <f t="shared" si="91"/>
        <v>2</v>
      </c>
      <c r="AG111" s="27">
        <f t="shared" si="91"/>
        <v>2</v>
      </c>
      <c r="AH111" s="27">
        <f t="shared" si="91"/>
        <v>2</v>
      </c>
      <c r="AI111" s="27">
        <f t="shared" si="91"/>
        <v>2</v>
      </c>
      <c r="AJ111" s="27">
        <f t="shared" si="91"/>
        <v>2</v>
      </c>
      <c r="AK111" s="27">
        <f t="shared" si="91"/>
        <v>2</v>
      </c>
      <c r="AL111" s="27">
        <f t="shared" si="91"/>
        <v>2</v>
      </c>
      <c r="AM111" s="27">
        <f t="shared" si="91"/>
        <v>2</v>
      </c>
      <c r="AN111" s="27">
        <f t="shared" si="91"/>
        <v>2</v>
      </c>
      <c r="AO111" s="27">
        <f t="shared" si="91"/>
        <v>2</v>
      </c>
      <c r="AP111" s="27">
        <f t="shared" si="91"/>
        <v>2</v>
      </c>
      <c r="AQ111" s="27">
        <f t="shared" si="91"/>
        <v>2</v>
      </c>
      <c r="AR111" s="27">
        <f t="shared" si="91"/>
        <v>2</v>
      </c>
      <c r="AS111" s="27">
        <f t="shared" si="91"/>
        <v>2</v>
      </c>
      <c r="AV111" s="17">
        <f t="shared" si="96"/>
        <v>0</v>
      </c>
      <c r="AW111" s="17">
        <f t="shared" si="92"/>
        <v>0</v>
      </c>
      <c r="AX111" s="17">
        <f t="shared" si="92"/>
        <v>0</v>
      </c>
      <c r="AY111" s="17">
        <f t="shared" si="92"/>
        <v>0</v>
      </c>
      <c r="AZ111" s="17">
        <f t="shared" si="92"/>
        <v>0</v>
      </c>
      <c r="BA111" s="17">
        <f t="shared" si="92"/>
        <v>0</v>
      </c>
      <c r="BB111" s="17">
        <f t="shared" si="92"/>
        <v>0</v>
      </c>
      <c r="BC111" s="17">
        <f t="shared" si="92"/>
        <v>0</v>
      </c>
      <c r="BD111" s="17">
        <f t="shared" si="92"/>
        <v>0</v>
      </c>
      <c r="BE111" s="17">
        <f t="shared" si="92"/>
        <v>0</v>
      </c>
      <c r="BF111" s="17">
        <f t="shared" si="92"/>
        <v>0</v>
      </c>
      <c r="BG111" s="17">
        <f t="shared" si="92"/>
        <v>0</v>
      </c>
      <c r="BH111" s="17">
        <f t="shared" si="92"/>
        <v>0</v>
      </c>
      <c r="BI111" s="17">
        <f t="shared" si="92"/>
        <v>0</v>
      </c>
      <c r="BJ111" s="17">
        <f t="shared" si="92"/>
        <v>0</v>
      </c>
      <c r="BK111" s="17">
        <f t="shared" si="92"/>
        <v>0</v>
      </c>
      <c r="BL111" s="17">
        <f t="shared" si="92"/>
        <v>0</v>
      </c>
      <c r="BM111" s="17">
        <f t="shared" si="92"/>
        <v>0</v>
      </c>
      <c r="BN111" s="17">
        <f t="shared" si="92"/>
        <v>0</v>
      </c>
      <c r="BO111" s="17">
        <f t="shared" si="92"/>
        <v>0</v>
      </c>
    </row>
    <row r="112" spans="1:67" x14ac:dyDescent="0.25">
      <c r="A112" s="7" t="str">
        <v>Charging data function software</v>
      </c>
      <c r="C112" s="10">
        <v>8</v>
      </c>
      <c r="D112" s="27">
        <f t="shared" si="93"/>
        <v>2</v>
      </c>
      <c r="E112" s="27">
        <f t="shared" si="94"/>
        <v>2</v>
      </c>
      <c r="F112" s="27">
        <f t="shared" si="89"/>
        <v>2</v>
      </c>
      <c r="G112" s="27">
        <f t="shared" si="89"/>
        <v>2</v>
      </c>
      <c r="H112" s="27">
        <f t="shared" si="89"/>
        <v>2</v>
      </c>
      <c r="I112" s="27">
        <f t="shared" si="89"/>
        <v>2</v>
      </c>
      <c r="J112" s="27">
        <f t="shared" si="89"/>
        <v>2</v>
      </c>
      <c r="K112" s="27">
        <f t="shared" si="89"/>
        <v>2</v>
      </c>
      <c r="L112" s="27">
        <f t="shared" si="89"/>
        <v>2</v>
      </c>
      <c r="M112" s="27">
        <f t="shared" si="89"/>
        <v>2</v>
      </c>
      <c r="N112" s="27">
        <f t="shared" si="89"/>
        <v>2</v>
      </c>
      <c r="O112" s="27">
        <f t="shared" si="89"/>
        <v>2</v>
      </c>
      <c r="P112" s="27">
        <f t="shared" si="89"/>
        <v>2</v>
      </c>
      <c r="Q112" s="27">
        <f t="shared" si="89"/>
        <v>2</v>
      </c>
      <c r="R112" s="27">
        <f t="shared" si="89"/>
        <v>2</v>
      </c>
      <c r="S112" s="27">
        <f t="shared" si="89"/>
        <v>2</v>
      </c>
      <c r="T112" s="27">
        <f t="shared" si="89"/>
        <v>2</v>
      </c>
      <c r="U112" s="27">
        <f t="shared" si="89"/>
        <v>2</v>
      </c>
      <c r="V112" s="27">
        <f t="shared" si="89"/>
        <v>2</v>
      </c>
      <c r="W112" s="27">
        <f t="shared" si="89"/>
        <v>2</v>
      </c>
      <c r="Z112" s="27">
        <f t="shared" si="95"/>
        <v>2</v>
      </c>
      <c r="AA112" s="27">
        <f t="shared" si="90"/>
        <v>2</v>
      </c>
      <c r="AB112" s="27">
        <f t="shared" si="91"/>
        <v>2</v>
      </c>
      <c r="AC112" s="27">
        <f t="shared" si="91"/>
        <v>2</v>
      </c>
      <c r="AD112" s="27">
        <f t="shared" si="91"/>
        <v>2</v>
      </c>
      <c r="AE112" s="27">
        <f t="shared" si="91"/>
        <v>2</v>
      </c>
      <c r="AF112" s="27">
        <f t="shared" si="91"/>
        <v>2</v>
      </c>
      <c r="AG112" s="27">
        <f t="shared" si="91"/>
        <v>2</v>
      </c>
      <c r="AH112" s="27">
        <f t="shared" si="91"/>
        <v>2</v>
      </c>
      <c r="AI112" s="27">
        <f t="shared" si="91"/>
        <v>2</v>
      </c>
      <c r="AJ112" s="27">
        <f t="shared" si="91"/>
        <v>2</v>
      </c>
      <c r="AK112" s="27">
        <f t="shared" si="91"/>
        <v>2</v>
      </c>
      <c r="AL112" s="27">
        <f t="shared" si="91"/>
        <v>2</v>
      </c>
      <c r="AM112" s="27">
        <f t="shared" si="91"/>
        <v>2</v>
      </c>
      <c r="AN112" s="27">
        <f t="shared" si="91"/>
        <v>2</v>
      </c>
      <c r="AO112" s="27">
        <f t="shared" si="91"/>
        <v>2</v>
      </c>
      <c r="AP112" s="27">
        <f t="shared" si="91"/>
        <v>2</v>
      </c>
      <c r="AQ112" s="27">
        <f t="shared" si="91"/>
        <v>2</v>
      </c>
      <c r="AR112" s="27">
        <f t="shared" si="91"/>
        <v>2</v>
      </c>
      <c r="AS112" s="27">
        <f t="shared" si="91"/>
        <v>2</v>
      </c>
      <c r="AV112" s="17">
        <f t="shared" si="96"/>
        <v>0</v>
      </c>
      <c r="AW112" s="17">
        <f t="shared" si="92"/>
        <v>0</v>
      </c>
      <c r="AX112" s="17">
        <f t="shared" si="92"/>
        <v>0</v>
      </c>
      <c r="AY112" s="17">
        <f t="shared" si="92"/>
        <v>0</v>
      </c>
      <c r="AZ112" s="17">
        <f t="shared" si="92"/>
        <v>0</v>
      </c>
      <c r="BA112" s="17">
        <f t="shared" si="92"/>
        <v>0</v>
      </c>
      <c r="BB112" s="17">
        <f t="shared" si="92"/>
        <v>0</v>
      </c>
      <c r="BC112" s="17">
        <f t="shared" si="92"/>
        <v>0</v>
      </c>
      <c r="BD112" s="17">
        <f t="shared" si="92"/>
        <v>0</v>
      </c>
      <c r="BE112" s="17">
        <f t="shared" si="92"/>
        <v>0</v>
      </c>
      <c r="BF112" s="17">
        <f t="shared" si="92"/>
        <v>0</v>
      </c>
      <c r="BG112" s="17">
        <f t="shared" si="92"/>
        <v>0</v>
      </c>
      <c r="BH112" s="17">
        <f t="shared" si="92"/>
        <v>0</v>
      </c>
      <c r="BI112" s="17">
        <f t="shared" si="92"/>
        <v>0</v>
      </c>
      <c r="BJ112" s="17">
        <f t="shared" si="92"/>
        <v>0</v>
      </c>
      <c r="BK112" s="17">
        <f t="shared" si="92"/>
        <v>0</v>
      </c>
      <c r="BL112" s="17">
        <f t="shared" si="92"/>
        <v>0</v>
      </c>
      <c r="BM112" s="17">
        <f t="shared" si="92"/>
        <v>0</v>
      </c>
      <c r="BN112" s="17">
        <f t="shared" si="92"/>
        <v>0</v>
      </c>
      <c r="BO112" s="17">
        <f t="shared" si="92"/>
        <v>0</v>
      </c>
    </row>
    <row r="113" spans="1:68" x14ac:dyDescent="0.25">
      <c r="A113" s="7" t="str">
        <v>Proxy - Call session control function hardware</v>
      </c>
      <c r="C113" s="10">
        <v>8</v>
      </c>
      <c r="D113" s="27">
        <f t="shared" si="93"/>
        <v>4</v>
      </c>
      <c r="E113" s="27">
        <f t="shared" si="94"/>
        <v>4</v>
      </c>
      <c r="F113" s="27">
        <f t="shared" si="89"/>
        <v>4</v>
      </c>
      <c r="G113" s="27">
        <f t="shared" si="89"/>
        <v>4</v>
      </c>
      <c r="H113" s="27">
        <f t="shared" si="89"/>
        <v>4</v>
      </c>
      <c r="I113" s="27">
        <f t="shared" si="89"/>
        <v>4</v>
      </c>
      <c r="J113" s="27">
        <f t="shared" si="89"/>
        <v>4</v>
      </c>
      <c r="K113" s="27">
        <f t="shared" si="89"/>
        <v>4</v>
      </c>
      <c r="L113" s="27">
        <f t="shared" si="89"/>
        <v>4</v>
      </c>
      <c r="M113" s="27">
        <f t="shared" si="89"/>
        <v>4</v>
      </c>
      <c r="N113" s="27">
        <f t="shared" si="89"/>
        <v>4</v>
      </c>
      <c r="O113" s="27">
        <f t="shared" si="89"/>
        <v>4</v>
      </c>
      <c r="P113" s="27">
        <f t="shared" si="89"/>
        <v>4</v>
      </c>
      <c r="Q113" s="27">
        <f t="shared" si="89"/>
        <v>6</v>
      </c>
      <c r="R113" s="27">
        <f t="shared" si="89"/>
        <v>6</v>
      </c>
      <c r="S113" s="27">
        <f t="shared" si="89"/>
        <v>6</v>
      </c>
      <c r="T113" s="27">
        <f t="shared" si="89"/>
        <v>6</v>
      </c>
      <c r="U113" s="27">
        <f t="shared" si="89"/>
        <v>6</v>
      </c>
      <c r="V113" s="27">
        <f t="shared" si="89"/>
        <v>6</v>
      </c>
      <c r="W113" s="27">
        <f t="shared" si="89"/>
        <v>6</v>
      </c>
      <c r="Z113" s="27">
        <f t="shared" si="95"/>
        <v>2</v>
      </c>
      <c r="AA113" s="27">
        <f t="shared" si="90"/>
        <v>2</v>
      </c>
      <c r="AB113" s="27">
        <f t="shared" si="91"/>
        <v>2</v>
      </c>
      <c r="AC113" s="27">
        <f t="shared" si="91"/>
        <v>2</v>
      </c>
      <c r="AD113" s="27">
        <f t="shared" si="91"/>
        <v>2</v>
      </c>
      <c r="AE113" s="27">
        <f t="shared" si="91"/>
        <v>2</v>
      </c>
      <c r="AF113" s="27">
        <f t="shared" si="91"/>
        <v>2</v>
      </c>
      <c r="AG113" s="27">
        <f t="shared" si="91"/>
        <v>2</v>
      </c>
      <c r="AH113" s="27">
        <f t="shared" si="91"/>
        <v>2</v>
      </c>
      <c r="AI113" s="27">
        <f t="shared" si="91"/>
        <v>2</v>
      </c>
      <c r="AJ113" s="27">
        <f t="shared" si="91"/>
        <v>2</v>
      </c>
      <c r="AK113" s="27">
        <f t="shared" si="91"/>
        <v>2</v>
      </c>
      <c r="AL113" s="27">
        <f t="shared" si="91"/>
        <v>2</v>
      </c>
      <c r="AM113" s="27">
        <f t="shared" si="91"/>
        <v>2</v>
      </c>
      <c r="AN113" s="27">
        <f t="shared" si="91"/>
        <v>2</v>
      </c>
      <c r="AO113" s="27">
        <f t="shared" si="91"/>
        <v>2</v>
      </c>
      <c r="AP113" s="27">
        <f t="shared" si="91"/>
        <v>2</v>
      </c>
      <c r="AQ113" s="27">
        <f t="shared" si="91"/>
        <v>2</v>
      </c>
      <c r="AR113" s="27">
        <f t="shared" si="91"/>
        <v>2</v>
      </c>
      <c r="AS113" s="27">
        <f t="shared" si="91"/>
        <v>2</v>
      </c>
      <c r="AV113" s="17">
        <f t="shared" si="96"/>
        <v>2</v>
      </c>
      <c r="AW113" s="17">
        <f t="shared" si="92"/>
        <v>2</v>
      </c>
      <c r="AX113" s="17">
        <f t="shared" si="92"/>
        <v>2</v>
      </c>
      <c r="AY113" s="17">
        <f t="shared" si="92"/>
        <v>2</v>
      </c>
      <c r="AZ113" s="17">
        <f t="shared" si="92"/>
        <v>2</v>
      </c>
      <c r="BA113" s="17">
        <f t="shared" si="92"/>
        <v>2</v>
      </c>
      <c r="BB113" s="17">
        <f t="shared" si="92"/>
        <v>2</v>
      </c>
      <c r="BC113" s="17">
        <f t="shared" si="92"/>
        <v>2</v>
      </c>
      <c r="BD113" s="17">
        <f t="shared" si="92"/>
        <v>2</v>
      </c>
      <c r="BE113" s="17">
        <f t="shared" si="92"/>
        <v>2</v>
      </c>
      <c r="BF113" s="17">
        <f t="shared" si="92"/>
        <v>2</v>
      </c>
      <c r="BG113" s="17">
        <f t="shared" si="92"/>
        <v>2</v>
      </c>
      <c r="BH113" s="17">
        <f t="shared" si="92"/>
        <v>2</v>
      </c>
      <c r="BI113" s="17">
        <f t="shared" si="92"/>
        <v>4</v>
      </c>
      <c r="BJ113" s="17">
        <f t="shared" si="92"/>
        <v>4</v>
      </c>
      <c r="BK113" s="17">
        <f t="shared" si="92"/>
        <v>4</v>
      </c>
      <c r="BL113" s="17">
        <f t="shared" si="92"/>
        <v>4</v>
      </c>
      <c r="BM113" s="17">
        <f t="shared" si="92"/>
        <v>4</v>
      </c>
      <c r="BN113" s="17">
        <f t="shared" si="92"/>
        <v>4</v>
      </c>
      <c r="BO113" s="17">
        <f t="shared" si="92"/>
        <v>4</v>
      </c>
    </row>
    <row r="114" spans="1:68" x14ac:dyDescent="0.25">
      <c r="A114" s="7" t="str">
        <v>Proxy - Call session control function software</v>
      </c>
      <c r="C114" s="10">
        <v>8</v>
      </c>
      <c r="D114" s="27">
        <f t="shared" si="93"/>
        <v>4</v>
      </c>
      <c r="E114" s="27">
        <f t="shared" si="94"/>
        <v>4</v>
      </c>
      <c r="F114" s="27">
        <f t="shared" si="89"/>
        <v>4</v>
      </c>
      <c r="G114" s="27">
        <f t="shared" si="89"/>
        <v>4</v>
      </c>
      <c r="H114" s="27">
        <f t="shared" si="89"/>
        <v>4</v>
      </c>
      <c r="I114" s="27">
        <f t="shared" si="89"/>
        <v>4</v>
      </c>
      <c r="J114" s="27">
        <f t="shared" si="89"/>
        <v>4</v>
      </c>
      <c r="K114" s="27">
        <f t="shared" si="89"/>
        <v>4</v>
      </c>
      <c r="L114" s="27">
        <f t="shared" si="89"/>
        <v>4</v>
      </c>
      <c r="M114" s="27">
        <f t="shared" si="89"/>
        <v>4</v>
      </c>
      <c r="N114" s="27">
        <f t="shared" si="89"/>
        <v>4</v>
      </c>
      <c r="O114" s="27">
        <f t="shared" si="89"/>
        <v>4</v>
      </c>
      <c r="P114" s="27">
        <f t="shared" si="89"/>
        <v>4</v>
      </c>
      <c r="Q114" s="27">
        <f t="shared" si="89"/>
        <v>4</v>
      </c>
      <c r="R114" s="27">
        <f t="shared" si="89"/>
        <v>4</v>
      </c>
      <c r="S114" s="27">
        <f t="shared" si="89"/>
        <v>4</v>
      </c>
      <c r="T114" s="27">
        <f t="shared" si="89"/>
        <v>4</v>
      </c>
      <c r="U114" s="27">
        <f t="shared" si="89"/>
        <v>4</v>
      </c>
      <c r="V114" s="27">
        <f t="shared" si="89"/>
        <v>4</v>
      </c>
      <c r="W114" s="27">
        <f t="shared" si="89"/>
        <v>4</v>
      </c>
      <c r="Z114" s="27">
        <f t="shared" si="95"/>
        <v>2</v>
      </c>
      <c r="AA114" s="27">
        <f t="shared" si="90"/>
        <v>2</v>
      </c>
      <c r="AB114" s="27">
        <f t="shared" si="91"/>
        <v>2</v>
      </c>
      <c r="AC114" s="27">
        <f t="shared" si="91"/>
        <v>2</v>
      </c>
      <c r="AD114" s="27">
        <f t="shared" si="91"/>
        <v>2</v>
      </c>
      <c r="AE114" s="27">
        <f t="shared" si="91"/>
        <v>2</v>
      </c>
      <c r="AF114" s="27">
        <f t="shared" si="91"/>
        <v>2</v>
      </c>
      <c r="AG114" s="27">
        <f t="shared" si="91"/>
        <v>2</v>
      </c>
      <c r="AH114" s="27">
        <f t="shared" si="91"/>
        <v>2</v>
      </c>
      <c r="AI114" s="27">
        <f t="shared" si="91"/>
        <v>2</v>
      </c>
      <c r="AJ114" s="27">
        <f t="shared" si="91"/>
        <v>2</v>
      </c>
      <c r="AK114" s="27">
        <f t="shared" si="91"/>
        <v>2</v>
      </c>
      <c r="AL114" s="27">
        <f t="shared" si="91"/>
        <v>2</v>
      </c>
      <c r="AM114" s="27">
        <f t="shared" si="91"/>
        <v>2</v>
      </c>
      <c r="AN114" s="27">
        <f t="shared" si="91"/>
        <v>2</v>
      </c>
      <c r="AO114" s="27">
        <f t="shared" si="91"/>
        <v>2</v>
      </c>
      <c r="AP114" s="27">
        <f t="shared" si="91"/>
        <v>2</v>
      </c>
      <c r="AQ114" s="27">
        <f t="shared" si="91"/>
        <v>2</v>
      </c>
      <c r="AR114" s="27">
        <f t="shared" si="91"/>
        <v>2</v>
      </c>
      <c r="AS114" s="27">
        <f t="shared" si="91"/>
        <v>2</v>
      </c>
      <c r="AV114" s="17">
        <f t="shared" si="96"/>
        <v>2</v>
      </c>
      <c r="AW114" s="17">
        <f t="shared" si="92"/>
        <v>2</v>
      </c>
      <c r="AX114" s="17">
        <f t="shared" si="92"/>
        <v>2</v>
      </c>
      <c r="AY114" s="17">
        <f t="shared" si="92"/>
        <v>2</v>
      </c>
      <c r="AZ114" s="17">
        <f t="shared" si="92"/>
        <v>2</v>
      </c>
      <c r="BA114" s="17">
        <f t="shared" si="92"/>
        <v>2</v>
      </c>
      <c r="BB114" s="17">
        <f t="shared" si="92"/>
        <v>2</v>
      </c>
      <c r="BC114" s="17">
        <f t="shared" si="92"/>
        <v>2</v>
      </c>
      <c r="BD114" s="17">
        <f t="shared" si="92"/>
        <v>2</v>
      </c>
      <c r="BE114" s="17">
        <f t="shared" si="92"/>
        <v>2</v>
      </c>
      <c r="BF114" s="17">
        <f t="shared" si="92"/>
        <v>2</v>
      </c>
      <c r="BG114" s="17">
        <f t="shared" si="92"/>
        <v>2</v>
      </c>
      <c r="BH114" s="17">
        <f t="shared" si="92"/>
        <v>2</v>
      </c>
      <c r="BI114" s="17">
        <f t="shared" si="92"/>
        <v>2</v>
      </c>
      <c r="BJ114" s="17">
        <f t="shared" si="92"/>
        <v>2</v>
      </c>
      <c r="BK114" s="17">
        <f t="shared" si="92"/>
        <v>2</v>
      </c>
      <c r="BL114" s="17">
        <f t="shared" si="92"/>
        <v>2</v>
      </c>
      <c r="BM114" s="17">
        <f t="shared" si="92"/>
        <v>2</v>
      </c>
      <c r="BN114" s="17">
        <f t="shared" si="92"/>
        <v>2</v>
      </c>
      <c r="BO114" s="17">
        <f t="shared" si="92"/>
        <v>2</v>
      </c>
    </row>
    <row r="115" spans="1:68" x14ac:dyDescent="0.25">
      <c r="A115" s="7" t="str">
        <v>Interrogating - Call session control function hardware</v>
      </c>
      <c r="C115" s="10">
        <v>8</v>
      </c>
      <c r="D115" s="27">
        <f t="shared" si="93"/>
        <v>4</v>
      </c>
      <c r="E115" s="27">
        <f t="shared" si="94"/>
        <v>4</v>
      </c>
      <c r="F115" s="27">
        <f t="shared" si="89"/>
        <v>4</v>
      </c>
      <c r="G115" s="27">
        <f t="shared" si="89"/>
        <v>4</v>
      </c>
      <c r="H115" s="27">
        <f t="shared" si="89"/>
        <v>4</v>
      </c>
      <c r="I115" s="27">
        <f t="shared" si="89"/>
        <v>4</v>
      </c>
      <c r="J115" s="27">
        <f t="shared" si="89"/>
        <v>4</v>
      </c>
      <c r="K115" s="27">
        <f t="shared" si="89"/>
        <v>4</v>
      </c>
      <c r="L115" s="27">
        <f t="shared" si="89"/>
        <v>4</v>
      </c>
      <c r="M115" s="27">
        <f t="shared" si="89"/>
        <v>4</v>
      </c>
      <c r="N115" s="27">
        <f t="shared" si="89"/>
        <v>4</v>
      </c>
      <c r="O115" s="27">
        <f t="shared" si="89"/>
        <v>4</v>
      </c>
      <c r="P115" s="27">
        <f t="shared" si="89"/>
        <v>4</v>
      </c>
      <c r="Q115" s="27">
        <f t="shared" si="89"/>
        <v>6</v>
      </c>
      <c r="R115" s="27">
        <f t="shared" si="89"/>
        <v>6</v>
      </c>
      <c r="S115" s="27">
        <f t="shared" si="89"/>
        <v>6</v>
      </c>
      <c r="T115" s="27">
        <f t="shared" si="89"/>
        <v>6</v>
      </c>
      <c r="U115" s="27">
        <f t="shared" si="89"/>
        <v>6</v>
      </c>
      <c r="V115" s="27">
        <f t="shared" si="89"/>
        <v>6</v>
      </c>
      <c r="W115" s="27">
        <f t="shared" si="89"/>
        <v>6</v>
      </c>
      <c r="Z115" s="27">
        <f t="shared" si="95"/>
        <v>2</v>
      </c>
      <c r="AA115" s="27">
        <f t="shared" si="90"/>
        <v>2</v>
      </c>
      <c r="AB115" s="27">
        <f t="shared" si="91"/>
        <v>2</v>
      </c>
      <c r="AC115" s="27">
        <f t="shared" si="91"/>
        <v>2</v>
      </c>
      <c r="AD115" s="27">
        <f t="shared" si="91"/>
        <v>2</v>
      </c>
      <c r="AE115" s="27">
        <f t="shared" si="91"/>
        <v>2</v>
      </c>
      <c r="AF115" s="27">
        <f t="shared" si="91"/>
        <v>2</v>
      </c>
      <c r="AG115" s="27">
        <f t="shared" si="91"/>
        <v>2</v>
      </c>
      <c r="AH115" s="27">
        <f t="shared" si="91"/>
        <v>2</v>
      </c>
      <c r="AI115" s="27">
        <f t="shared" si="91"/>
        <v>2</v>
      </c>
      <c r="AJ115" s="27">
        <f t="shared" si="91"/>
        <v>2</v>
      </c>
      <c r="AK115" s="27">
        <f t="shared" si="91"/>
        <v>2</v>
      </c>
      <c r="AL115" s="27">
        <f t="shared" si="91"/>
        <v>2</v>
      </c>
      <c r="AM115" s="27">
        <f t="shared" si="91"/>
        <v>2</v>
      </c>
      <c r="AN115" s="27">
        <f t="shared" si="91"/>
        <v>2</v>
      </c>
      <c r="AO115" s="27">
        <f t="shared" si="91"/>
        <v>2</v>
      </c>
      <c r="AP115" s="27">
        <f t="shared" si="91"/>
        <v>2</v>
      </c>
      <c r="AQ115" s="27">
        <f t="shared" si="91"/>
        <v>2</v>
      </c>
      <c r="AR115" s="27">
        <f t="shared" si="91"/>
        <v>2</v>
      </c>
      <c r="AS115" s="27">
        <f t="shared" si="91"/>
        <v>2</v>
      </c>
      <c r="AV115" s="17">
        <f t="shared" si="96"/>
        <v>2</v>
      </c>
      <c r="AW115" s="17">
        <f t="shared" si="92"/>
        <v>2</v>
      </c>
      <c r="AX115" s="17">
        <f t="shared" si="92"/>
        <v>2</v>
      </c>
      <c r="AY115" s="17">
        <f t="shared" si="92"/>
        <v>2</v>
      </c>
      <c r="AZ115" s="17">
        <f t="shared" si="92"/>
        <v>2</v>
      </c>
      <c r="BA115" s="17">
        <f t="shared" si="92"/>
        <v>2</v>
      </c>
      <c r="BB115" s="17">
        <f t="shared" si="92"/>
        <v>2</v>
      </c>
      <c r="BC115" s="17">
        <f t="shared" si="92"/>
        <v>2</v>
      </c>
      <c r="BD115" s="17">
        <f t="shared" si="92"/>
        <v>2</v>
      </c>
      <c r="BE115" s="17">
        <f t="shared" si="92"/>
        <v>2</v>
      </c>
      <c r="BF115" s="17">
        <f t="shared" si="92"/>
        <v>2</v>
      </c>
      <c r="BG115" s="17">
        <f t="shared" si="92"/>
        <v>2</v>
      </c>
      <c r="BH115" s="17">
        <f t="shared" si="92"/>
        <v>2</v>
      </c>
      <c r="BI115" s="17">
        <f t="shared" si="92"/>
        <v>4</v>
      </c>
      <c r="BJ115" s="17">
        <f t="shared" si="92"/>
        <v>4</v>
      </c>
      <c r="BK115" s="17">
        <f t="shared" si="92"/>
        <v>4</v>
      </c>
      <c r="BL115" s="17">
        <f t="shared" si="92"/>
        <v>4</v>
      </c>
      <c r="BM115" s="17">
        <f t="shared" si="92"/>
        <v>4</v>
      </c>
      <c r="BN115" s="17">
        <f t="shared" si="92"/>
        <v>4</v>
      </c>
      <c r="BO115" s="17">
        <f t="shared" si="92"/>
        <v>4</v>
      </c>
    </row>
    <row r="116" spans="1:68" x14ac:dyDescent="0.25">
      <c r="A116" s="7" t="str">
        <v>Interrogating - Call session control function software</v>
      </c>
      <c r="C116" s="10">
        <v>8</v>
      </c>
      <c r="D116" s="27">
        <f t="shared" si="93"/>
        <v>4</v>
      </c>
      <c r="E116" s="27">
        <f t="shared" si="94"/>
        <v>4</v>
      </c>
      <c r="F116" s="27">
        <f t="shared" si="89"/>
        <v>4</v>
      </c>
      <c r="G116" s="27">
        <f t="shared" si="89"/>
        <v>4</v>
      </c>
      <c r="H116" s="27">
        <f t="shared" si="89"/>
        <v>4</v>
      </c>
      <c r="I116" s="27">
        <f t="shared" si="89"/>
        <v>4</v>
      </c>
      <c r="J116" s="27">
        <f t="shared" si="89"/>
        <v>4</v>
      </c>
      <c r="K116" s="27">
        <f t="shared" si="89"/>
        <v>4</v>
      </c>
      <c r="L116" s="27">
        <f t="shared" si="89"/>
        <v>4</v>
      </c>
      <c r="M116" s="27">
        <f t="shared" si="89"/>
        <v>4</v>
      </c>
      <c r="N116" s="27">
        <f t="shared" si="89"/>
        <v>4</v>
      </c>
      <c r="O116" s="27">
        <f t="shared" si="89"/>
        <v>4</v>
      </c>
      <c r="P116" s="27">
        <f t="shared" si="89"/>
        <v>4</v>
      </c>
      <c r="Q116" s="27">
        <f t="shared" si="89"/>
        <v>4</v>
      </c>
      <c r="R116" s="27">
        <f t="shared" si="89"/>
        <v>4</v>
      </c>
      <c r="S116" s="27">
        <f t="shared" si="89"/>
        <v>4</v>
      </c>
      <c r="T116" s="27">
        <f t="shared" si="89"/>
        <v>4</v>
      </c>
      <c r="U116" s="27">
        <f t="shared" si="89"/>
        <v>4</v>
      </c>
      <c r="V116" s="27">
        <f t="shared" si="89"/>
        <v>4</v>
      </c>
      <c r="W116" s="27">
        <f t="shared" si="89"/>
        <v>4</v>
      </c>
      <c r="Z116" s="27">
        <f t="shared" si="95"/>
        <v>2</v>
      </c>
      <c r="AA116" s="27">
        <f t="shared" si="90"/>
        <v>2</v>
      </c>
      <c r="AB116" s="27">
        <f t="shared" si="91"/>
        <v>2</v>
      </c>
      <c r="AC116" s="27">
        <f t="shared" si="91"/>
        <v>2</v>
      </c>
      <c r="AD116" s="27">
        <f t="shared" si="91"/>
        <v>2</v>
      </c>
      <c r="AE116" s="27">
        <f t="shared" si="91"/>
        <v>2</v>
      </c>
      <c r="AF116" s="27">
        <f t="shared" si="91"/>
        <v>2</v>
      </c>
      <c r="AG116" s="27">
        <f t="shared" si="91"/>
        <v>2</v>
      </c>
      <c r="AH116" s="27">
        <f t="shared" si="91"/>
        <v>2</v>
      </c>
      <c r="AI116" s="27">
        <f t="shared" si="91"/>
        <v>2</v>
      </c>
      <c r="AJ116" s="27">
        <f t="shared" si="91"/>
        <v>2</v>
      </c>
      <c r="AK116" s="27">
        <f t="shared" si="91"/>
        <v>2</v>
      </c>
      <c r="AL116" s="27">
        <f t="shared" si="91"/>
        <v>2</v>
      </c>
      <c r="AM116" s="27">
        <f t="shared" si="91"/>
        <v>2</v>
      </c>
      <c r="AN116" s="27">
        <f t="shared" si="91"/>
        <v>2</v>
      </c>
      <c r="AO116" s="27">
        <f t="shared" si="91"/>
        <v>2</v>
      </c>
      <c r="AP116" s="27">
        <f t="shared" si="91"/>
        <v>2</v>
      </c>
      <c r="AQ116" s="27">
        <f t="shared" si="91"/>
        <v>2</v>
      </c>
      <c r="AR116" s="27">
        <f t="shared" si="91"/>
        <v>2</v>
      </c>
      <c r="AS116" s="27">
        <f t="shared" si="91"/>
        <v>2</v>
      </c>
      <c r="AV116" s="17">
        <f t="shared" si="96"/>
        <v>2</v>
      </c>
      <c r="AW116" s="17">
        <f t="shared" si="92"/>
        <v>2</v>
      </c>
      <c r="AX116" s="17">
        <f t="shared" si="92"/>
        <v>2</v>
      </c>
      <c r="AY116" s="17">
        <f t="shared" si="92"/>
        <v>2</v>
      </c>
      <c r="AZ116" s="17">
        <f t="shared" si="92"/>
        <v>2</v>
      </c>
      <c r="BA116" s="17">
        <f t="shared" si="92"/>
        <v>2</v>
      </c>
      <c r="BB116" s="17">
        <f t="shared" si="92"/>
        <v>2</v>
      </c>
      <c r="BC116" s="17">
        <f t="shared" si="92"/>
        <v>2</v>
      </c>
      <c r="BD116" s="17">
        <f t="shared" si="92"/>
        <v>2</v>
      </c>
      <c r="BE116" s="17">
        <f t="shared" si="92"/>
        <v>2</v>
      </c>
      <c r="BF116" s="17">
        <f t="shared" si="92"/>
        <v>2</v>
      </c>
      <c r="BG116" s="17">
        <f t="shared" si="92"/>
        <v>2</v>
      </c>
      <c r="BH116" s="17">
        <f t="shared" si="92"/>
        <v>2</v>
      </c>
      <c r="BI116" s="17">
        <f t="shared" si="92"/>
        <v>2</v>
      </c>
      <c r="BJ116" s="17">
        <f t="shared" si="92"/>
        <v>2</v>
      </c>
      <c r="BK116" s="17">
        <f t="shared" si="92"/>
        <v>2</v>
      </c>
      <c r="BL116" s="17">
        <f t="shared" si="92"/>
        <v>2</v>
      </c>
      <c r="BM116" s="17">
        <f t="shared" si="92"/>
        <v>2</v>
      </c>
      <c r="BN116" s="17">
        <f t="shared" si="92"/>
        <v>2</v>
      </c>
      <c r="BO116" s="17">
        <f t="shared" si="92"/>
        <v>2</v>
      </c>
    </row>
    <row r="117" spans="1:68" x14ac:dyDescent="0.25">
      <c r="A117" s="7" t="str">
        <v>Serving - Call session control function hardware</v>
      </c>
      <c r="C117" s="10">
        <v>8</v>
      </c>
      <c r="D117" s="27">
        <f t="shared" si="93"/>
        <v>4</v>
      </c>
      <c r="E117" s="27">
        <f t="shared" si="94"/>
        <v>4</v>
      </c>
      <c r="F117" s="27">
        <f t="shared" si="89"/>
        <v>4</v>
      </c>
      <c r="G117" s="27">
        <f t="shared" si="89"/>
        <v>4</v>
      </c>
      <c r="H117" s="27">
        <f t="shared" si="89"/>
        <v>4</v>
      </c>
      <c r="I117" s="27">
        <f t="shared" si="89"/>
        <v>4</v>
      </c>
      <c r="J117" s="27">
        <f t="shared" si="89"/>
        <v>4</v>
      </c>
      <c r="K117" s="27">
        <f t="shared" si="89"/>
        <v>4</v>
      </c>
      <c r="L117" s="27">
        <f t="shared" si="89"/>
        <v>4</v>
      </c>
      <c r="M117" s="27">
        <f t="shared" si="89"/>
        <v>4</v>
      </c>
      <c r="N117" s="27">
        <f t="shared" si="89"/>
        <v>4</v>
      </c>
      <c r="O117" s="27">
        <f t="shared" si="89"/>
        <v>4</v>
      </c>
      <c r="P117" s="27">
        <f t="shared" si="89"/>
        <v>4</v>
      </c>
      <c r="Q117" s="27">
        <f t="shared" si="89"/>
        <v>4</v>
      </c>
      <c r="R117" s="27">
        <f t="shared" si="89"/>
        <v>4</v>
      </c>
      <c r="S117" s="27">
        <f t="shared" si="89"/>
        <v>4</v>
      </c>
      <c r="T117" s="27">
        <f t="shared" si="89"/>
        <v>4</v>
      </c>
      <c r="U117" s="27">
        <f t="shared" si="89"/>
        <v>4</v>
      </c>
      <c r="V117" s="27">
        <f t="shared" si="89"/>
        <v>4</v>
      </c>
      <c r="W117" s="27">
        <f t="shared" si="89"/>
        <v>4</v>
      </c>
      <c r="Z117" s="27">
        <f t="shared" si="95"/>
        <v>2</v>
      </c>
      <c r="AA117" s="27">
        <f t="shared" si="90"/>
        <v>2</v>
      </c>
      <c r="AB117" s="27">
        <f t="shared" si="91"/>
        <v>2</v>
      </c>
      <c r="AC117" s="27">
        <f t="shared" si="91"/>
        <v>2</v>
      </c>
      <c r="AD117" s="27">
        <f t="shared" si="91"/>
        <v>2</v>
      </c>
      <c r="AE117" s="27">
        <f t="shared" si="91"/>
        <v>2</v>
      </c>
      <c r="AF117" s="27">
        <f t="shared" si="91"/>
        <v>2</v>
      </c>
      <c r="AG117" s="27">
        <f t="shared" si="91"/>
        <v>2</v>
      </c>
      <c r="AH117" s="27">
        <f t="shared" si="91"/>
        <v>2</v>
      </c>
      <c r="AI117" s="27">
        <f t="shared" si="91"/>
        <v>2</v>
      </c>
      <c r="AJ117" s="27">
        <f t="shared" si="91"/>
        <v>2</v>
      </c>
      <c r="AK117" s="27">
        <f t="shared" si="91"/>
        <v>2</v>
      </c>
      <c r="AL117" s="27">
        <f t="shared" si="91"/>
        <v>2</v>
      </c>
      <c r="AM117" s="27">
        <f t="shared" si="91"/>
        <v>2</v>
      </c>
      <c r="AN117" s="27">
        <f t="shared" si="91"/>
        <v>2</v>
      </c>
      <c r="AO117" s="27">
        <f t="shared" si="91"/>
        <v>2</v>
      </c>
      <c r="AP117" s="27">
        <f t="shared" si="91"/>
        <v>2</v>
      </c>
      <c r="AQ117" s="27">
        <f t="shared" si="91"/>
        <v>2</v>
      </c>
      <c r="AR117" s="27">
        <f t="shared" si="91"/>
        <v>2</v>
      </c>
      <c r="AS117" s="27">
        <f t="shared" si="91"/>
        <v>2</v>
      </c>
      <c r="AV117" s="17">
        <f>D117-Z117</f>
        <v>2</v>
      </c>
      <c r="AW117" s="17">
        <f t="shared" si="92"/>
        <v>2</v>
      </c>
      <c r="AX117" s="17">
        <f t="shared" si="92"/>
        <v>2</v>
      </c>
      <c r="AY117" s="17">
        <f t="shared" si="92"/>
        <v>2</v>
      </c>
      <c r="AZ117" s="17">
        <f t="shared" si="92"/>
        <v>2</v>
      </c>
      <c r="BA117" s="17">
        <f t="shared" si="92"/>
        <v>2</v>
      </c>
      <c r="BB117" s="17">
        <f t="shared" si="92"/>
        <v>2</v>
      </c>
      <c r="BC117" s="17">
        <f t="shared" si="92"/>
        <v>2</v>
      </c>
      <c r="BD117" s="17">
        <f t="shared" si="92"/>
        <v>2</v>
      </c>
      <c r="BE117" s="17">
        <f t="shared" si="92"/>
        <v>2</v>
      </c>
      <c r="BF117" s="17">
        <f t="shared" si="92"/>
        <v>2</v>
      </c>
      <c r="BG117" s="17">
        <f t="shared" si="92"/>
        <v>2</v>
      </c>
      <c r="BH117" s="17">
        <f t="shared" si="92"/>
        <v>2</v>
      </c>
      <c r="BI117" s="17">
        <f t="shared" si="92"/>
        <v>2</v>
      </c>
      <c r="BJ117" s="17">
        <f t="shared" si="92"/>
        <v>2</v>
      </c>
      <c r="BK117" s="17">
        <f t="shared" si="92"/>
        <v>2</v>
      </c>
      <c r="BL117" s="17">
        <f t="shared" si="92"/>
        <v>2</v>
      </c>
      <c r="BM117" s="17">
        <f t="shared" si="92"/>
        <v>2</v>
      </c>
      <c r="BN117" s="17">
        <f t="shared" si="92"/>
        <v>2</v>
      </c>
      <c r="BO117" s="17">
        <f t="shared" si="92"/>
        <v>2</v>
      </c>
    </row>
    <row r="118" spans="1:68" x14ac:dyDescent="0.25">
      <c r="A118" s="7" t="str">
        <v>Serving - Call session control function software</v>
      </c>
      <c r="C118" s="10">
        <v>8</v>
      </c>
      <c r="D118" s="27">
        <f t="shared" si="93"/>
        <v>4</v>
      </c>
      <c r="E118" s="27">
        <f t="shared" si="94"/>
        <v>4</v>
      </c>
      <c r="F118" s="27">
        <f t="shared" si="89"/>
        <v>4</v>
      </c>
      <c r="G118" s="27">
        <f t="shared" si="89"/>
        <v>4</v>
      </c>
      <c r="H118" s="27">
        <f t="shared" si="89"/>
        <v>4</v>
      </c>
      <c r="I118" s="27">
        <f t="shared" si="89"/>
        <v>4</v>
      </c>
      <c r="J118" s="27">
        <f t="shared" si="89"/>
        <v>4</v>
      </c>
      <c r="K118" s="27">
        <f t="shared" si="89"/>
        <v>4</v>
      </c>
      <c r="L118" s="27">
        <f t="shared" si="89"/>
        <v>4</v>
      </c>
      <c r="M118" s="27">
        <f t="shared" si="89"/>
        <v>4</v>
      </c>
      <c r="N118" s="27">
        <f t="shared" si="89"/>
        <v>4</v>
      </c>
      <c r="O118" s="27">
        <f t="shared" si="89"/>
        <v>4</v>
      </c>
      <c r="P118" s="27">
        <f t="shared" si="89"/>
        <v>4</v>
      </c>
      <c r="Q118" s="27">
        <f t="shared" si="89"/>
        <v>6</v>
      </c>
      <c r="R118" s="27">
        <f t="shared" si="89"/>
        <v>6</v>
      </c>
      <c r="S118" s="27">
        <f t="shared" si="89"/>
        <v>6</v>
      </c>
      <c r="T118" s="27">
        <f t="shared" si="89"/>
        <v>6</v>
      </c>
      <c r="U118" s="27">
        <f t="shared" si="89"/>
        <v>6</v>
      </c>
      <c r="V118" s="27">
        <f t="shared" si="89"/>
        <v>6</v>
      </c>
      <c r="W118" s="27">
        <f t="shared" si="89"/>
        <v>6</v>
      </c>
      <c r="Z118" s="27">
        <f t="shared" si="95"/>
        <v>2</v>
      </c>
      <c r="AA118" s="27">
        <f t="shared" si="90"/>
        <v>2</v>
      </c>
      <c r="AB118" s="27">
        <f t="shared" si="91"/>
        <v>2</v>
      </c>
      <c r="AC118" s="27">
        <f t="shared" si="91"/>
        <v>2</v>
      </c>
      <c r="AD118" s="27">
        <f t="shared" si="91"/>
        <v>2</v>
      </c>
      <c r="AE118" s="27">
        <f t="shared" si="91"/>
        <v>2</v>
      </c>
      <c r="AF118" s="27">
        <f t="shared" si="91"/>
        <v>2</v>
      </c>
      <c r="AG118" s="27">
        <f t="shared" si="91"/>
        <v>2</v>
      </c>
      <c r="AH118" s="27">
        <f t="shared" si="91"/>
        <v>2</v>
      </c>
      <c r="AI118" s="27">
        <f t="shared" si="91"/>
        <v>2</v>
      </c>
      <c r="AJ118" s="27">
        <f t="shared" si="91"/>
        <v>2</v>
      </c>
      <c r="AK118" s="27">
        <f t="shared" si="91"/>
        <v>2</v>
      </c>
      <c r="AL118" s="27">
        <f t="shared" si="91"/>
        <v>2</v>
      </c>
      <c r="AM118" s="27">
        <f t="shared" si="91"/>
        <v>2</v>
      </c>
      <c r="AN118" s="27">
        <f t="shared" si="91"/>
        <v>2</v>
      </c>
      <c r="AO118" s="27">
        <f t="shared" si="91"/>
        <v>2</v>
      </c>
      <c r="AP118" s="27">
        <f t="shared" si="91"/>
        <v>2</v>
      </c>
      <c r="AQ118" s="27">
        <f t="shared" si="91"/>
        <v>2</v>
      </c>
      <c r="AR118" s="27">
        <f t="shared" si="91"/>
        <v>2</v>
      </c>
      <c r="AS118" s="27">
        <f t="shared" si="91"/>
        <v>2</v>
      </c>
      <c r="AV118" s="17">
        <f t="shared" si="96"/>
        <v>2</v>
      </c>
      <c r="AW118" s="17">
        <f t="shared" si="92"/>
        <v>2</v>
      </c>
      <c r="AX118" s="17">
        <f t="shared" si="92"/>
        <v>2</v>
      </c>
      <c r="AY118" s="17">
        <f t="shared" si="92"/>
        <v>2</v>
      </c>
      <c r="AZ118" s="17">
        <f t="shared" si="92"/>
        <v>2</v>
      </c>
      <c r="BA118" s="17">
        <f t="shared" si="92"/>
        <v>2</v>
      </c>
      <c r="BB118" s="17">
        <f t="shared" si="92"/>
        <v>2</v>
      </c>
      <c r="BC118" s="17">
        <f t="shared" si="92"/>
        <v>2</v>
      </c>
      <c r="BD118" s="17">
        <f t="shared" si="92"/>
        <v>2</v>
      </c>
      <c r="BE118" s="17">
        <f t="shared" si="92"/>
        <v>2</v>
      </c>
      <c r="BF118" s="17">
        <f t="shared" si="92"/>
        <v>2</v>
      </c>
      <c r="BG118" s="17">
        <f t="shared" si="92"/>
        <v>2</v>
      </c>
      <c r="BH118" s="17">
        <f t="shared" si="92"/>
        <v>2</v>
      </c>
      <c r="BI118" s="17">
        <f t="shared" si="92"/>
        <v>4</v>
      </c>
      <c r="BJ118" s="17">
        <f t="shared" si="92"/>
        <v>4</v>
      </c>
      <c r="BK118" s="17">
        <f t="shared" si="92"/>
        <v>4</v>
      </c>
      <c r="BL118" s="17">
        <f t="shared" si="92"/>
        <v>4</v>
      </c>
      <c r="BM118" s="17">
        <f t="shared" si="92"/>
        <v>4</v>
      </c>
      <c r="BN118" s="17">
        <f t="shared" si="92"/>
        <v>4</v>
      </c>
      <c r="BO118" s="17">
        <f t="shared" si="92"/>
        <v>4</v>
      </c>
    </row>
    <row r="119" spans="1:68" x14ac:dyDescent="0.25">
      <c r="A119" s="7" t="str">
        <v>Media resource function - hardware</v>
      </c>
      <c r="C119" s="10">
        <v>8</v>
      </c>
      <c r="D119" s="27">
        <f t="shared" si="93"/>
        <v>492</v>
      </c>
      <c r="E119" s="27">
        <f t="shared" si="94"/>
        <v>502</v>
      </c>
      <c r="F119" s="27">
        <f t="shared" si="89"/>
        <v>524</v>
      </c>
      <c r="G119" s="27">
        <f t="shared" si="89"/>
        <v>524</v>
      </c>
      <c r="H119" s="27">
        <f t="shared" si="89"/>
        <v>524</v>
      </c>
      <c r="I119" s="27">
        <f t="shared" si="89"/>
        <v>524</v>
      </c>
      <c r="J119" s="27">
        <f t="shared" si="89"/>
        <v>524</v>
      </c>
      <c r="K119" s="27">
        <f t="shared" si="89"/>
        <v>524</v>
      </c>
      <c r="L119" s="27">
        <f t="shared" si="89"/>
        <v>522</v>
      </c>
      <c r="M119" s="27">
        <f t="shared" si="89"/>
        <v>524</v>
      </c>
      <c r="N119" s="27">
        <f t="shared" si="89"/>
        <v>526</v>
      </c>
      <c r="O119" s="27">
        <f t="shared" si="89"/>
        <v>528</v>
      </c>
      <c r="P119" s="27">
        <f t="shared" si="89"/>
        <v>532</v>
      </c>
      <c r="Q119" s="27">
        <f t="shared" si="89"/>
        <v>534</v>
      </c>
      <c r="R119" s="27">
        <f t="shared" si="89"/>
        <v>536</v>
      </c>
      <c r="S119" s="27">
        <f t="shared" si="89"/>
        <v>540</v>
      </c>
      <c r="T119" s="27">
        <f t="shared" si="89"/>
        <v>542</v>
      </c>
      <c r="U119" s="27">
        <f t="shared" si="89"/>
        <v>544</v>
      </c>
      <c r="V119" s="27">
        <f t="shared" si="89"/>
        <v>548</v>
      </c>
      <c r="W119" s="27">
        <f t="shared" si="89"/>
        <v>550</v>
      </c>
      <c r="Z119" s="27">
        <f t="shared" si="95"/>
        <v>230</v>
      </c>
      <c r="AA119" s="27">
        <f t="shared" si="90"/>
        <v>230</v>
      </c>
      <c r="AB119" s="27">
        <f t="shared" si="91"/>
        <v>230</v>
      </c>
      <c r="AC119" s="27">
        <f t="shared" si="91"/>
        <v>230</v>
      </c>
      <c r="AD119" s="27">
        <f t="shared" si="91"/>
        <v>230</v>
      </c>
      <c r="AE119" s="27">
        <f t="shared" si="91"/>
        <v>230</v>
      </c>
      <c r="AF119" s="27">
        <f t="shared" si="91"/>
        <v>230</v>
      </c>
      <c r="AG119" s="27">
        <f t="shared" si="91"/>
        <v>230</v>
      </c>
      <c r="AH119" s="27">
        <f t="shared" si="91"/>
        <v>200</v>
      </c>
      <c r="AI119" s="27">
        <f t="shared" si="91"/>
        <v>200</v>
      </c>
      <c r="AJ119" s="27">
        <f t="shared" si="91"/>
        <v>202</v>
      </c>
      <c r="AK119" s="27">
        <f t="shared" si="91"/>
        <v>202</v>
      </c>
      <c r="AL119" s="27">
        <f t="shared" si="91"/>
        <v>204</v>
      </c>
      <c r="AM119" s="27">
        <f t="shared" si="91"/>
        <v>204</v>
      </c>
      <c r="AN119" s="27">
        <f t="shared" si="91"/>
        <v>206</v>
      </c>
      <c r="AO119" s="27">
        <f t="shared" si="91"/>
        <v>206</v>
      </c>
      <c r="AP119" s="27">
        <f t="shared" si="91"/>
        <v>208</v>
      </c>
      <c r="AQ119" s="27">
        <f t="shared" si="91"/>
        <v>208</v>
      </c>
      <c r="AR119" s="27">
        <f t="shared" si="91"/>
        <v>210</v>
      </c>
      <c r="AS119" s="27">
        <f t="shared" si="91"/>
        <v>210</v>
      </c>
      <c r="AV119" s="17">
        <f t="shared" si="96"/>
        <v>262</v>
      </c>
      <c r="AW119" s="17">
        <f t="shared" si="92"/>
        <v>272</v>
      </c>
      <c r="AX119" s="17">
        <f t="shared" si="92"/>
        <v>294</v>
      </c>
      <c r="AY119" s="17">
        <f t="shared" si="92"/>
        <v>294</v>
      </c>
      <c r="AZ119" s="17">
        <f t="shared" si="92"/>
        <v>294</v>
      </c>
      <c r="BA119" s="17">
        <f t="shared" si="92"/>
        <v>294</v>
      </c>
      <c r="BB119" s="17">
        <f t="shared" si="92"/>
        <v>294</v>
      </c>
      <c r="BC119" s="17">
        <f t="shared" si="92"/>
        <v>294</v>
      </c>
      <c r="BD119" s="17">
        <f t="shared" si="92"/>
        <v>322</v>
      </c>
      <c r="BE119" s="17">
        <f t="shared" si="92"/>
        <v>324</v>
      </c>
      <c r="BF119" s="17">
        <f t="shared" si="92"/>
        <v>324</v>
      </c>
      <c r="BG119" s="17">
        <f t="shared" si="92"/>
        <v>326</v>
      </c>
      <c r="BH119" s="17">
        <f t="shared" si="92"/>
        <v>328</v>
      </c>
      <c r="BI119" s="17">
        <f t="shared" si="92"/>
        <v>330</v>
      </c>
      <c r="BJ119" s="17">
        <f t="shared" si="92"/>
        <v>330</v>
      </c>
      <c r="BK119" s="17">
        <f t="shared" si="92"/>
        <v>334</v>
      </c>
      <c r="BL119" s="17">
        <f t="shared" si="92"/>
        <v>334</v>
      </c>
      <c r="BM119" s="17">
        <f t="shared" si="92"/>
        <v>336</v>
      </c>
      <c r="BN119" s="17">
        <f t="shared" si="92"/>
        <v>338</v>
      </c>
      <c r="BO119" s="17">
        <f t="shared" si="92"/>
        <v>340</v>
      </c>
    </row>
    <row r="120" spans="1:68" x14ac:dyDescent="0.25">
      <c r="A120" s="7" t="str">
        <v>Media resource function - software</v>
      </c>
      <c r="C120" s="10">
        <v>8</v>
      </c>
      <c r="D120" s="27">
        <f>D26</f>
        <v>564</v>
      </c>
      <c r="E120" s="27">
        <f t="shared" si="94"/>
        <v>572</v>
      </c>
      <c r="F120" s="27">
        <f t="shared" si="89"/>
        <v>600</v>
      </c>
      <c r="G120" s="27">
        <f t="shared" si="89"/>
        <v>600</v>
      </c>
      <c r="H120" s="27">
        <f t="shared" si="89"/>
        <v>600</v>
      </c>
      <c r="I120" s="27">
        <f t="shared" si="89"/>
        <v>600</v>
      </c>
      <c r="J120" s="27">
        <f t="shared" si="89"/>
        <v>600</v>
      </c>
      <c r="K120" s="27">
        <f t="shared" si="89"/>
        <v>600</v>
      </c>
      <c r="L120" s="27">
        <f t="shared" si="89"/>
        <v>596</v>
      </c>
      <c r="M120" s="27">
        <f t="shared" si="89"/>
        <v>598</v>
      </c>
      <c r="N120" s="27">
        <f t="shared" si="89"/>
        <v>602</v>
      </c>
      <c r="O120" s="27">
        <f t="shared" si="89"/>
        <v>604</v>
      </c>
      <c r="P120" s="27">
        <f t="shared" si="89"/>
        <v>608</v>
      </c>
      <c r="Q120" s="27">
        <f t="shared" si="89"/>
        <v>610</v>
      </c>
      <c r="R120" s="27">
        <f t="shared" si="89"/>
        <v>614</v>
      </c>
      <c r="S120" s="27">
        <f t="shared" si="89"/>
        <v>616</v>
      </c>
      <c r="T120" s="27">
        <f t="shared" si="89"/>
        <v>620</v>
      </c>
      <c r="U120" s="27">
        <f t="shared" si="89"/>
        <v>622</v>
      </c>
      <c r="V120" s="27">
        <f t="shared" si="89"/>
        <v>626</v>
      </c>
      <c r="W120" s="27">
        <f t="shared" si="89"/>
        <v>628</v>
      </c>
      <c r="Z120" s="27">
        <f t="shared" si="95"/>
        <v>262</v>
      </c>
      <c r="AA120" s="27">
        <f t="shared" si="90"/>
        <v>262</v>
      </c>
      <c r="AB120" s="27">
        <f t="shared" si="91"/>
        <v>262</v>
      </c>
      <c r="AC120" s="27">
        <f t="shared" si="91"/>
        <v>262</v>
      </c>
      <c r="AD120" s="27">
        <f t="shared" si="91"/>
        <v>262</v>
      </c>
      <c r="AE120" s="27">
        <f t="shared" si="91"/>
        <v>262</v>
      </c>
      <c r="AF120" s="27">
        <f t="shared" si="91"/>
        <v>262</v>
      </c>
      <c r="AG120" s="27">
        <f t="shared" si="91"/>
        <v>262</v>
      </c>
      <c r="AH120" s="27">
        <f t="shared" si="91"/>
        <v>228</v>
      </c>
      <c r="AI120" s="27">
        <f t="shared" si="91"/>
        <v>230</v>
      </c>
      <c r="AJ120" s="27">
        <f t="shared" si="91"/>
        <v>230</v>
      </c>
      <c r="AK120" s="27">
        <f t="shared" si="91"/>
        <v>232</v>
      </c>
      <c r="AL120" s="27">
        <f t="shared" si="91"/>
        <v>232</v>
      </c>
      <c r="AM120" s="27">
        <f t="shared" si="91"/>
        <v>234</v>
      </c>
      <c r="AN120" s="27">
        <f t="shared" si="91"/>
        <v>236</v>
      </c>
      <c r="AO120" s="27">
        <f t="shared" si="91"/>
        <v>236</v>
      </c>
      <c r="AP120" s="27">
        <f t="shared" si="91"/>
        <v>238</v>
      </c>
      <c r="AQ120" s="27">
        <f t="shared" si="91"/>
        <v>238</v>
      </c>
      <c r="AR120" s="27">
        <f t="shared" si="91"/>
        <v>240</v>
      </c>
      <c r="AS120" s="27">
        <f t="shared" si="91"/>
        <v>240</v>
      </c>
      <c r="AV120" s="17">
        <f t="shared" si="96"/>
        <v>302</v>
      </c>
      <c r="AW120" s="17">
        <f t="shared" si="92"/>
        <v>310</v>
      </c>
      <c r="AX120" s="17">
        <f t="shared" si="92"/>
        <v>338</v>
      </c>
      <c r="AY120" s="17">
        <f t="shared" si="92"/>
        <v>338</v>
      </c>
      <c r="AZ120" s="17">
        <f t="shared" si="92"/>
        <v>338</v>
      </c>
      <c r="BA120" s="17">
        <f t="shared" si="92"/>
        <v>338</v>
      </c>
      <c r="BB120" s="17">
        <f t="shared" si="92"/>
        <v>338</v>
      </c>
      <c r="BC120" s="17">
        <f t="shared" si="92"/>
        <v>338</v>
      </c>
      <c r="BD120" s="17">
        <f t="shared" si="92"/>
        <v>368</v>
      </c>
      <c r="BE120" s="17">
        <f t="shared" si="92"/>
        <v>368</v>
      </c>
      <c r="BF120" s="17">
        <f t="shared" si="92"/>
        <v>372</v>
      </c>
      <c r="BG120" s="17">
        <f t="shared" si="92"/>
        <v>372</v>
      </c>
      <c r="BH120" s="17">
        <f t="shared" si="92"/>
        <v>376</v>
      </c>
      <c r="BI120" s="17">
        <f t="shared" si="92"/>
        <v>376</v>
      </c>
      <c r="BJ120" s="17">
        <f t="shared" si="92"/>
        <v>378</v>
      </c>
      <c r="BK120" s="17">
        <f t="shared" si="92"/>
        <v>380</v>
      </c>
      <c r="BL120" s="17">
        <f t="shared" si="92"/>
        <v>382</v>
      </c>
      <c r="BM120" s="17">
        <f t="shared" si="92"/>
        <v>384</v>
      </c>
      <c r="BN120" s="17">
        <f t="shared" si="92"/>
        <v>386</v>
      </c>
      <c r="BO120" s="17">
        <f t="shared" si="92"/>
        <v>388</v>
      </c>
    </row>
    <row r="121" spans="1:68" x14ac:dyDescent="0.25">
      <c r="A121" s="7" t="str">
        <v>Access session border controller - hardware</v>
      </c>
      <c r="C121" s="10">
        <v>8</v>
      </c>
      <c r="D121" s="27">
        <f t="shared" si="93"/>
        <v>50</v>
      </c>
      <c r="E121" s="27">
        <f t="shared" si="94"/>
        <v>52</v>
      </c>
      <c r="F121" s="27">
        <f t="shared" si="89"/>
        <v>54</v>
      </c>
      <c r="G121" s="27">
        <f t="shared" si="89"/>
        <v>54</v>
      </c>
      <c r="H121" s="27">
        <f t="shared" si="89"/>
        <v>54</v>
      </c>
      <c r="I121" s="27">
        <f t="shared" si="89"/>
        <v>54</v>
      </c>
      <c r="J121" s="27">
        <f t="shared" si="89"/>
        <v>54</v>
      </c>
      <c r="K121" s="27">
        <f t="shared" si="89"/>
        <v>54</v>
      </c>
      <c r="L121" s="27">
        <f t="shared" si="89"/>
        <v>54</v>
      </c>
      <c r="M121" s="27">
        <f t="shared" si="89"/>
        <v>54</v>
      </c>
      <c r="N121" s="27">
        <f t="shared" si="89"/>
        <v>54</v>
      </c>
      <c r="O121" s="27">
        <f t="shared" si="89"/>
        <v>54</v>
      </c>
      <c r="P121" s="27">
        <f t="shared" si="89"/>
        <v>54</v>
      </c>
      <c r="Q121" s="27">
        <f t="shared" si="89"/>
        <v>54</v>
      </c>
      <c r="R121" s="27">
        <f t="shared" si="89"/>
        <v>54</v>
      </c>
      <c r="S121" s="27">
        <f t="shared" si="89"/>
        <v>54</v>
      </c>
      <c r="T121" s="27">
        <f t="shared" si="89"/>
        <v>56</v>
      </c>
      <c r="U121" s="27">
        <f t="shared" si="89"/>
        <v>56</v>
      </c>
      <c r="V121" s="27">
        <f t="shared" si="89"/>
        <v>56</v>
      </c>
      <c r="W121" s="27">
        <f t="shared" si="89"/>
        <v>56</v>
      </c>
      <c r="Z121" s="27">
        <f t="shared" si="95"/>
        <v>24</v>
      </c>
      <c r="AA121" s="27">
        <f t="shared" si="90"/>
        <v>24</v>
      </c>
      <c r="AB121" s="27">
        <f t="shared" si="91"/>
        <v>24</v>
      </c>
      <c r="AC121" s="27">
        <f t="shared" si="91"/>
        <v>24</v>
      </c>
      <c r="AD121" s="27">
        <f t="shared" si="91"/>
        <v>24</v>
      </c>
      <c r="AE121" s="27">
        <f t="shared" si="91"/>
        <v>24</v>
      </c>
      <c r="AF121" s="27">
        <f t="shared" si="91"/>
        <v>24</v>
      </c>
      <c r="AG121" s="27">
        <f t="shared" si="91"/>
        <v>24</v>
      </c>
      <c r="AH121" s="27">
        <f t="shared" si="91"/>
        <v>20</v>
      </c>
      <c r="AI121" s="27">
        <f t="shared" si="91"/>
        <v>20</v>
      </c>
      <c r="AJ121" s="27">
        <f t="shared" si="91"/>
        <v>22</v>
      </c>
      <c r="AK121" s="27">
        <f t="shared" si="91"/>
        <v>22</v>
      </c>
      <c r="AL121" s="27">
        <f t="shared" si="91"/>
        <v>22</v>
      </c>
      <c r="AM121" s="27">
        <f t="shared" si="91"/>
        <v>22</v>
      </c>
      <c r="AN121" s="27">
        <f t="shared" si="91"/>
        <v>22</v>
      </c>
      <c r="AO121" s="27">
        <f t="shared" si="91"/>
        <v>22</v>
      </c>
      <c r="AP121" s="27">
        <f t="shared" si="91"/>
        <v>22</v>
      </c>
      <c r="AQ121" s="27">
        <f t="shared" si="91"/>
        <v>22</v>
      </c>
      <c r="AR121" s="27">
        <f t="shared" si="91"/>
        <v>22</v>
      </c>
      <c r="AS121" s="27">
        <f t="shared" si="91"/>
        <v>22</v>
      </c>
      <c r="AV121" s="17">
        <f t="shared" si="96"/>
        <v>26</v>
      </c>
      <c r="AW121" s="17">
        <f t="shared" si="92"/>
        <v>28</v>
      </c>
      <c r="AX121" s="17">
        <f t="shared" si="92"/>
        <v>30</v>
      </c>
      <c r="AY121" s="17">
        <f t="shared" si="92"/>
        <v>30</v>
      </c>
      <c r="AZ121" s="17">
        <f t="shared" si="92"/>
        <v>30</v>
      </c>
      <c r="BA121" s="17">
        <f t="shared" si="92"/>
        <v>30</v>
      </c>
      <c r="BB121" s="17">
        <f t="shared" si="92"/>
        <v>30</v>
      </c>
      <c r="BC121" s="17">
        <f t="shared" si="92"/>
        <v>30</v>
      </c>
      <c r="BD121" s="17">
        <f t="shared" si="92"/>
        <v>34</v>
      </c>
      <c r="BE121" s="17">
        <f t="shared" si="92"/>
        <v>34</v>
      </c>
      <c r="BF121" s="17">
        <f t="shared" si="92"/>
        <v>32</v>
      </c>
      <c r="BG121" s="17">
        <f t="shared" si="92"/>
        <v>32</v>
      </c>
      <c r="BH121" s="17">
        <f t="shared" si="92"/>
        <v>32</v>
      </c>
      <c r="BI121" s="17">
        <f t="shared" si="92"/>
        <v>32</v>
      </c>
      <c r="BJ121" s="17">
        <f t="shared" si="92"/>
        <v>32</v>
      </c>
      <c r="BK121" s="17">
        <f t="shared" si="92"/>
        <v>32</v>
      </c>
      <c r="BL121" s="17">
        <f t="shared" si="92"/>
        <v>34</v>
      </c>
      <c r="BM121" s="17">
        <f t="shared" si="92"/>
        <v>34</v>
      </c>
      <c r="BN121" s="17">
        <f t="shared" si="92"/>
        <v>34</v>
      </c>
      <c r="BO121" s="17">
        <f t="shared" si="92"/>
        <v>34</v>
      </c>
    </row>
    <row r="122" spans="1:68" x14ac:dyDescent="0.25">
      <c r="A122" s="7" t="str">
        <v>Access session border controller - software</v>
      </c>
      <c r="C122" s="10">
        <v>8</v>
      </c>
      <c r="D122" s="27">
        <f t="shared" si="93"/>
        <v>492</v>
      </c>
      <c r="E122" s="27">
        <f t="shared" si="94"/>
        <v>502</v>
      </c>
      <c r="F122" s="27">
        <f t="shared" si="89"/>
        <v>524</v>
      </c>
      <c r="G122" s="27">
        <f t="shared" si="89"/>
        <v>524</v>
      </c>
      <c r="H122" s="27">
        <f t="shared" si="89"/>
        <v>524</v>
      </c>
      <c r="I122" s="27">
        <f t="shared" si="89"/>
        <v>524</v>
      </c>
      <c r="J122" s="27">
        <f t="shared" si="89"/>
        <v>524</v>
      </c>
      <c r="K122" s="27">
        <f t="shared" si="89"/>
        <v>524</v>
      </c>
      <c r="L122" s="27">
        <f t="shared" si="89"/>
        <v>522</v>
      </c>
      <c r="M122" s="27">
        <f t="shared" si="89"/>
        <v>524</v>
      </c>
      <c r="N122" s="27">
        <f t="shared" si="89"/>
        <v>526</v>
      </c>
      <c r="O122" s="27">
        <f t="shared" si="89"/>
        <v>528</v>
      </c>
      <c r="P122" s="27">
        <f t="shared" si="89"/>
        <v>532</v>
      </c>
      <c r="Q122" s="27">
        <f t="shared" si="89"/>
        <v>534</v>
      </c>
      <c r="R122" s="27">
        <f t="shared" si="89"/>
        <v>536</v>
      </c>
      <c r="S122" s="27">
        <f t="shared" si="89"/>
        <v>540</v>
      </c>
      <c r="T122" s="27">
        <f t="shared" si="89"/>
        <v>542</v>
      </c>
      <c r="U122" s="27">
        <f t="shared" si="89"/>
        <v>544</v>
      </c>
      <c r="V122" s="27">
        <f t="shared" si="89"/>
        <v>548</v>
      </c>
      <c r="W122" s="27">
        <f t="shared" si="89"/>
        <v>550</v>
      </c>
      <c r="Z122" s="27">
        <f t="shared" si="95"/>
        <v>230</v>
      </c>
      <c r="AA122" s="27">
        <f t="shared" si="90"/>
        <v>230</v>
      </c>
      <c r="AB122" s="27">
        <f t="shared" si="91"/>
        <v>230</v>
      </c>
      <c r="AC122" s="27">
        <f t="shared" si="91"/>
        <v>230</v>
      </c>
      <c r="AD122" s="27">
        <f t="shared" si="91"/>
        <v>230</v>
      </c>
      <c r="AE122" s="27">
        <f t="shared" si="91"/>
        <v>230</v>
      </c>
      <c r="AF122" s="27">
        <f t="shared" si="91"/>
        <v>230</v>
      </c>
      <c r="AG122" s="27">
        <f t="shared" si="91"/>
        <v>230</v>
      </c>
      <c r="AH122" s="27">
        <f t="shared" si="91"/>
        <v>200</v>
      </c>
      <c r="AI122" s="27">
        <f t="shared" si="91"/>
        <v>200</v>
      </c>
      <c r="AJ122" s="27">
        <f t="shared" si="91"/>
        <v>202</v>
      </c>
      <c r="AK122" s="27">
        <f t="shared" si="91"/>
        <v>202</v>
      </c>
      <c r="AL122" s="27">
        <f t="shared" si="91"/>
        <v>204</v>
      </c>
      <c r="AM122" s="27">
        <f t="shared" si="91"/>
        <v>204</v>
      </c>
      <c r="AN122" s="27">
        <f t="shared" si="91"/>
        <v>206</v>
      </c>
      <c r="AO122" s="27">
        <f t="shared" si="91"/>
        <v>206</v>
      </c>
      <c r="AP122" s="27">
        <f t="shared" si="91"/>
        <v>208</v>
      </c>
      <c r="AQ122" s="27">
        <f t="shared" si="91"/>
        <v>208</v>
      </c>
      <c r="AR122" s="27">
        <f t="shared" si="91"/>
        <v>210</v>
      </c>
      <c r="AS122" s="27">
        <f t="shared" si="91"/>
        <v>210</v>
      </c>
      <c r="AV122" s="17">
        <f t="shared" si="96"/>
        <v>262</v>
      </c>
      <c r="AW122" s="17">
        <f t="shared" si="92"/>
        <v>272</v>
      </c>
      <c r="AX122" s="17">
        <f t="shared" si="92"/>
        <v>294</v>
      </c>
      <c r="AY122" s="17">
        <f t="shared" si="92"/>
        <v>294</v>
      </c>
      <c r="AZ122" s="17">
        <f t="shared" si="92"/>
        <v>294</v>
      </c>
      <c r="BA122" s="17">
        <f t="shared" si="92"/>
        <v>294</v>
      </c>
      <c r="BB122" s="17">
        <f t="shared" si="92"/>
        <v>294</v>
      </c>
      <c r="BC122" s="17">
        <f t="shared" si="92"/>
        <v>294</v>
      </c>
      <c r="BD122" s="17">
        <f t="shared" si="92"/>
        <v>322</v>
      </c>
      <c r="BE122" s="17">
        <f t="shared" ref="BE122:BE124" si="97">M122-AI122</f>
        <v>324</v>
      </c>
      <c r="BF122" s="17">
        <f t="shared" ref="BF122:BF124" si="98">N122-AJ122</f>
        <v>324</v>
      </c>
      <c r="BG122" s="17">
        <f t="shared" ref="BG122:BG124" si="99">O122-AK122</f>
        <v>326</v>
      </c>
      <c r="BH122" s="17">
        <f t="shared" ref="BH122:BH124" si="100">P122-AL122</f>
        <v>328</v>
      </c>
      <c r="BI122" s="17">
        <f t="shared" ref="BI122:BI124" si="101">Q122-AM122</f>
        <v>330</v>
      </c>
      <c r="BJ122" s="17">
        <f t="shared" ref="BJ122:BJ124" si="102">R122-AN122</f>
        <v>330</v>
      </c>
      <c r="BK122" s="17">
        <f t="shared" ref="BK122:BK124" si="103">S122-AO122</f>
        <v>334</v>
      </c>
      <c r="BL122" s="17">
        <f t="shared" ref="BL122:BL124" si="104">T122-AP122</f>
        <v>334</v>
      </c>
      <c r="BM122" s="17">
        <f t="shared" ref="BM122:BM124" si="105">U122-AQ122</f>
        <v>336</v>
      </c>
      <c r="BN122" s="17">
        <f t="shared" ref="BN122:BN124" si="106">V122-AR122</f>
        <v>338</v>
      </c>
      <c r="BO122" s="17">
        <f t="shared" ref="BO122:BO124" si="107">W122-AS122</f>
        <v>340</v>
      </c>
    </row>
    <row r="123" spans="1:68" x14ac:dyDescent="0.25">
      <c r="A123" s="7" t="str">
        <v>Internet exchange point session border controller - hardware</v>
      </c>
      <c r="C123" s="10">
        <v>8</v>
      </c>
      <c r="D123" s="27">
        <f t="shared" si="93"/>
        <v>42</v>
      </c>
      <c r="E123" s="27">
        <f t="shared" si="94"/>
        <v>42</v>
      </c>
      <c r="F123" s="27">
        <f t="shared" si="89"/>
        <v>46</v>
      </c>
      <c r="G123" s="27">
        <f t="shared" si="89"/>
        <v>46</v>
      </c>
      <c r="H123" s="27">
        <f t="shared" si="89"/>
        <v>46</v>
      </c>
      <c r="I123" s="27">
        <f t="shared" si="89"/>
        <v>46</v>
      </c>
      <c r="J123" s="27">
        <f t="shared" si="89"/>
        <v>46</v>
      </c>
      <c r="K123" s="27">
        <f t="shared" si="89"/>
        <v>46</v>
      </c>
      <c r="L123" s="27">
        <f t="shared" si="89"/>
        <v>46</v>
      </c>
      <c r="M123" s="27">
        <f t="shared" si="89"/>
        <v>46</v>
      </c>
      <c r="N123" s="27">
        <f t="shared" si="89"/>
        <v>46</v>
      </c>
      <c r="O123" s="27">
        <f t="shared" si="89"/>
        <v>46</v>
      </c>
      <c r="P123" s="27">
        <f t="shared" si="89"/>
        <v>46</v>
      </c>
      <c r="Q123" s="27">
        <f t="shared" si="89"/>
        <v>46</v>
      </c>
      <c r="R123" s="27">
        <f t="shared" si="89"/>
        <v>48</v>
      </c>
      <c r="S123" s="27">
        <f t="shared" si="89"/>
        <v>48</v>
      </c>
      <c r="T123" s="27">
        <f t="shared" si="89"/>
        <v>48</v>
      </c>
      <c r="U123" s="27">
        <f t="shared" si="89"/>
        <v>48</v>
      </c>
      <c r="V123" s="27">
        <f t="shared" si="89"/>
        <v>48</v>
      </c>
      <c r="W123" s="27">
        <f t="shared" si="89"/>
        <v>48</v>
      </c>
      <c r="Z123" s="27">
        <f t="shared" si="95"/>
        <v>16</v>
      </c>
      <c r="AA123" s="27">
        <f t="shared" si="90"/>
        <v>16</v>
      </c>
      <c r="AB123" s="27">
        <f t="shared" si="91"/>
        <v>16</v>
      </c>
      <c r="AC123" s="27">
        <f t="shared" si="91"/>
        <v>16</v>
      </c>
      <c r="AD123" s="27">
        <f t="shared" si="91"/>
        <v>16</v>
      </c>
      <c r="AE123" s="27">
        <f t="shared" si="91"/>
        <v>16</v>
      </c>
      <c r="AF123" s="27">
        <f t="shared" si="91"/>
        <v>16</v>
      </c>
      <c r="AG123" s="27">
        <f t="shared" si="91"/>
        <v>16</v>
      </c>
      <c r="AH123" s="27">
        <f t="shared" si="91"/>
        <v>14</v>
      </c>
      <c r="AI123" s="27">
        <f t="shared" si="91"/>
        <v>14</v>
      </c>
      <c r="AJ123" s="27">
        <f t="shared" si="91"/>
        <v>14</v>
      </c>
      <c r="AK123" s="27">
        <f t="shared" si="91"/>
        <v>14</v>
      </c>
      <c r="AL123" s="27">
        <f t="shared" si="91"/>
        <v>14</v>
      </c>
      <c r="AM123" s="27">
        <f t="shared" si="91"/>
        <v>14</v>
      </c>
      <c r="AN123" s="27">
        <f t="shared" si="91"/>
        <v>14</v>
      </c>
      <c r="AO123" s="27">
        <f t="shared" si="91"/>
        <v>14</v>
      </c>
      <c r="AP123" s="27">
        <f t="shared" si="91"/>
        <v>14</v>
      </c>
      <c r="AQ123" s="27">
        <f t="shared" si="91"/>
        <v>14</v>
      </c>
      <c r="AR123" s="27">
        <f t="shared" si="91"/>
        <v>14</v>
      </c>
      <c r="AS123" s="27">
        <f t="shared" si="91"/>
        <v>14</v>
      </c>
      <c r="AV123" s="17">
        <f t="shared" si="96"/>
        <v>26</v>
      </c>
      <c r="AW123" s="17">
        <f t="shared" ref="AW123:AW124" si="108">E123-AA123</f>
        <v>26</v>
      </c>
      <c r="AX123" s="17">
        <f t="shared" ref="AX123:AX124" si="109">F123-AB123</f>
        <v>30</v>
      </c>
      <c r="AY123" s="17">
        <f t="shared" ref="AY123:AY124" si="110">G123-AC123</f>
        <v>30</v>
      </c>
      <c r="AZ123" s="17">
        <f t="shared" ref="AZ123:AZ124" si="111">H123-AD123</f>
        <v>30</v>
      </c>
      <c r="BA123" s="17">
        <f t="shared" ref="BA123:BA124" si="112">I123-AE123</f>
        <v>30</v>
      </c>
      <c r="BB123" s="17">
        <f t="shared" ref="BB123:BB124" si="113">J123-AF123</f>
        <v>30</v>
      </c>
      <c r="BC123" s="17">
        <f t="shared" ref="BC123:BC124" si="114">K123-AG123</f>
        <v>30</v>
      </c>
      <c r="BD123" s="17">
        <f t="shared" ref="BD123:BD124" si="115">L123-AH123</f>
        <v>32</v>
      </c>
      <c r="BE123" s="17">
        <f t="shared" si="97"/>
        <v>32</v>
      </c>
      <c r="BF123" s="17">
        <f t="shared" si="98"/>
        <v>32</v>
      </c>
      <c r="BG123" s="17">
        <f t="shared" si="99"/>
        <v>32</v>
      </c>
      <c r="BH123" s="17">
        <f t="shared" si="100"/>
        <v>32</v>
      </c>
      <c r="BI123" s="17">
        <f t="shared" si="101"/>
        <v>32</v>
      </c>
      <c r="BJ123" s="17">
        <f t="shared" si="102"/>
        <v>34</v>
      </c>
      <c r="BK123" s="17">
        <f t="shared" si="103"/>
        <v>34</v>
      </c>
      <c r="BL123" s="17">
        <f t="shared" si="104"/>
        <v>34</v>
      </c>
      <c r="BM123" s="17">
        <f t="shared" si="105"/>
        <v>34</v>
      </c>
      <c r="BN123" s="17">
        <f t="shared" si="106"/>
        <v>34</v>
      </c>
      <c r="BO123" s="17">
        <f t="shared" si="107"/>
        <v>34</v>
      </c>
    </row>
    <row r="124" spans="1:68" x14ac:dyDescent="0.25">
      <c r="A124" s="7" t="str">
        <v>Internet exchange point session border controller - software</v>
      </c>
      <c r="C124" s="10">
        <v>8</v>
      </c>
      <c r="D124" s="27">
        <f t="shared" si="93"/>
        <v>84</v>
      </c>
      <c r="E124" s="27">
        <f t="shared" si="94"/>
        <v>84</v>
      </c>
      <c r="F124" s="27">
        <f t="shared" ref="F124:W124" si="116">E101+F57</f>
        <v>90</v>
      </c>
      <c r="G124" s="27">
        <f t="shared" si="116"/>
        <v>90</v>
      </c>
      <c r="H124" s="27">
        <f t="shared" si="116"/>
        <v>90</v>
      </c>
      <c r="I124" s="27">
        <f t="shared" si="116"/>
        <v>90</v>
      </c>
      <c r="J124" s="27">
        <f t="shared" si="116"/>
        <v>90</v>
      </c>
      <c r="K124" s="27">
        <f t="shared" si="116"/>
        <v>90</v>
      </c>
      <c r="L124" s="27">
        <f t="shared" si="116"/>
        <v>90</v>
      </c>
      <c r="M124" s="27">
        <f t="shared" si="116"/>
        <v>90</v>
      </c>
      <c r="N124" s="27">
        <f t="shared" si="116"/>
        <v>92</v>
      </c>
      <c r="O124" s="27">
        <f t="shared" si="116"/>
        <v>92</v>
      </c>
      <c r="P124" s="27">
        <f t="shared" si="116"/>
        <v>92</v>
      </c>
      <c r="Q124" s="27">
        <f t="shared" si="116"/>
        <v>92</v>
      </c>
      <c r="R124" s="27">
        <f t="shared" si="116"/>
        <v>94</v>
      </c>
      <c r="S124" s="27">
        <f t="shared" si="116"/>
        <v>94</v>
      </c>
      <c r="T124" s="27">
        <f t="shared" si="116"/>
        <v>94</v>
      </c>
      <c r="U124" s="27">
        <f t="shared" si="116"/>
        <v>94</v>
      </c>
      <c r="V124" s="27">
        <f t="shared" si="116"/>
        <v>94</v>
      </c>
      <c r="W124" s="27">
        <f t="shared" si="116"/>
        <v>96</v>
      </c>
      <c r="X124" s="16" t="s">
        <v>377</v>
      </c>
      <c r="Z124" s="27">
        <f t="shared" si="95"/>
        <v>30</v>
      </c>
      <c r="AA124" s="27">
        <f t="shared" ref="AA124:AS124" si="117">Z101+AA57</f>
        <v>30</v>
      </c>
      <c r="AB124" s="27">
        <f t="shared" si="117"/>
        <v>30</v>
      </c>
      <c r="AC124" s="27">
        <f t="shared" si="117"/>
        <v>30</v>
      </c>
      <c r="AD124" s="27">
        <f t="shared" si="117"/>
        <v>30</v>
      </c>
      <c r="AE124" s="27">
        <f t="shared" si="117"/>
        <v>30</v>
      </c>
      <c r="AF124" s="27">
        <f t="shared" si="117"/>
        <v>30</v>
      </c>
      <c r="AG124" s="27">
        <f t="shared" si="117"/>
        <v>30</v>
      </c>
      <c r="AH124" s="27">
        <f t="shared" si="117"/>
        <v>26</v>
      </c>
      <c r="AI124" s="27">
        <f t="shared" si="117"/>
        <v>26</v>
      </c>
      <c r="AJ124" s="27">
        <f t="shared" si="117"/>
        <v>26</v>
      </c>
      <c r="AK124" s="27">
        <f t="shared" si="117"/>
        <v>26</v>
      </c>
      <c r="AL124" s="27">
        <f t="shared" si="117"/>
        <v>26</v>
      </c>
      <c r="AM124" s="27">
        <f t="shared" si="117"/>
        <v>26</v>
      </c>
      <c r="AN124" s="27">
        <f t="shared" si="117"/>
        <v>26</v>
      </c>
      <c r="AO124" s="27">
        <f t="shared" si="117"/>
        <v>26</v>
      </c>
      <c r="AP124" s="27">
        <f t="shared" si="117"/>
        <v>28</v>
      </c>
      <c r="AQ124" s="27">
        <f t="shared" si="117"/>
        <v>28</v>
      </c>
      <c r="AR124" s="27">
        <f t="shared" si="117"/>
        <v>28</v>
      </c>
      <c r="AS124" s="27">
        <f t="shared" si="117"/>
        <v>28</v>
      </c>
      <c r="AT124" s="16" t="s">
        <v>378</v>
      </c>
      <c r="AV124" s="17">
        <f t="shared" si="96"/>
        <v>54</v>
      </c>
      <c r="AW124" s="17">
        <f t="shared" si="108"/>
        <v>54</v>
      </c>
      <c r="AX124" s="17">
        <f t="shared" si="109"/>
        <v>60</v>
      </c>
      <c r="AY124" s="17">
        <f t="shared" si="110"/>
        <v>60</v>
      </c>
      <c r="AZ124" s="17">
        <f t="shared" si="111"/>
        <v>60</v>
      </c>
      <c r="BA124" s="17">
        <f t="shared" si="112"/>
        <v>60</v>
      </c>
      <c r="BB124" s="17">
        <f t="shared" si="113"/>
        <v>60</v>
      </c>
      <c r="BC124" s="17">
        <f t="shared" si="114"/>
        <v>60</v>
      </c>
      <c r="BD124" s="17">
        <f t="shared" si="115"/>
        <v>64</v>
      </c>
      <c r="BE124" s="17">
        <f t="shared" si="97"/>
        <v>64</v>
      </c>
      <c r="BF124" s="17">
        <f t="shared" si="98"/>
        <v>66</v>
      </c>
      <c r="BG124" s="17">
        <f t="shared" si="99"/>
        <v>66</v>
      </c>
      <c r="BH124" s="17">
        <f t="shared" si="100"/>
        <v>66</v>
      </c>
      <c r="BI124" s="17">
        <f t="shared" si="101"/>
        <v>66</v>
      </c>
      <c r="BJ124" s="17">
        <f t="shared" si="102"/>
        <v>68</v>
      </c>
      <c r="BK124" s="17">
        <f t="shared" si="103"/>
        <v>68</v>
      </c>
      <c r="BL124" s="17">
        <f t="shared" si="104"/>
        <v>66</v>
      </c>
      <c r="BM124" s="17">
        <f t="shared" si="105"/>
        <v>66</v>
      </c>
      <c r="BN124" s="17">
        <f t="shared" si="106"/>
        <v>66</v>
      </c>
      <c r="BO124" s="17">
        <f t="shared" si="107"/>
        <v>68</v>
      </c>
      <c r="BP124" s="16" t="s">
        <v>383</v>
      </c>
    </row>
  </sheetData>
  <conditionalFormatting sqref="AV42:BO57">
    <cfRule type="cellIs" dxfId="9" priority="1" operator="lessThan">
      <formula>0</formula>
    </cfRule>
  </conditionalFormatting>
  <conditionalFormatting sqref="AV109:BO124">
    <cfRule type="cellIs" dxfId="8" priority="2" operator="lessThan">
      <formula>0</formula>
    </cfRule>
  </conditionalFormatting>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3EA5B-71A9-4539-BD6A-8C3B4C00345C}">
  <dimension ref="A1:BP27"/>
  <sheetViews>
    <sheetView zoomScale="90" zoomScaleNormal="90" workbookViewId="0">
      <pane xSplit="1" topLeftCell="B1" activePane="topRight" state="frozen"/>
      <selection pane="topRight" activeCell="D12" sqref="D12"/>
    </sheetView>
  </sheetViews>
  <sheetFormatPr defaultColWidth="15.7109375" defaultRowHeight="15" x14ac:dyDescent="0.25"/>
  <cols>
    <col min="1" max="1" width="59.7109375" style="13" customWidth="1"/>
    <col min="2" max="2" width="20.28515625" style="13" customWidth="1"/>
    <col min="3" max="3" width="18" style="13" customWidth="1"/>
    <col min="4" max="4" width="14.42578125" style="13" bestFit="1" customWidth="1"/>
    <col min="5" max="5" width="13.7109375" style="13" customWidth="1"/>
    <col min="6" max="6" width="17.28515625" style="13" bestFit="1" customWidth="1"/>
    <col min="7" max="11" width="13.7109375" style="13" customWidth="1"/>
    <col min="12" max="12" width="14.42578125" style="13" bestFit="1" customWidth="1"/>
    <col min="13" max="19" width="13.7109375" style="13" customWidth="1"/>
    <col min="20" max="20" width="14.42578125" style="13" bestFit="1" customWidth="1"/>
    <col min="21" max="23" width="13.7109375" style="13" customWidth="1"/>
    <col min="24" max="24" width="27.28515625" style="13" bestFit="1" customWidth="1"/>
    <col min="25" max="25" width="23.7109375" style="13" customWidth="1"/>
    <col min="26" max="45" width="15.28515625" style="13" customWidth="1"/>
    <col min="46" max="46" width="8.7109375" style="13" bestFit="1" customWidth="1"/>
    <col min="47" max="16384" width="15.7109375" style="13"/>
  </cols>
  <sheetData>
    <row r="1" spans="1:67" ht="21" x14ac:dyDescent="0.35">
      <c r="A1" s="133" t="s">
        <v>157</v>
      </c>
      <c r="B1" s="91"/>
      <c r="C1" s="91"/>
      <c r="D1" s="91"/>
    </row>
    <row r="3" spans="1:67" x14ac:dyDescent="0.25">
      <c r="A3" s="80" t="s">
        <v>172</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row>
    <row r="4" spans="1:67" x14ac:dyDescent="0.25">
      <c r="A4" s="57"/>
    </row>
    <row r="5" spans="1:67" x14ac:dyDescent="0.25">
      <c r="D5" s="49" t="s">
        <v>99</v>
      </c>
      <c r="E5" s="50"/>
      <c r="F5" s="50"/>
      <c r="G5" s="50"/>
      <c r="H5" s="50"/>
      <c r="I5" s="50"/>
      <c r="J5" s="50"/>
      <c r="K5" s="50"/>
      <c r="L5" s="50"/>
      <c r="M5" s="50"/>
      <c r="N5" s="50"/>
      <c r="O5" s="50"/>
      <c r="P5" s="50"/>
      <c r="Q5" s="50"/>
      <c r="R5" s="50"/>
      <c r="S5" s="50"/>
      <c r="T5" s="50"/>
      <c r="U5" s="50"/>
      <c r="V5" s="50"/>
      <c r="W5" s="50"/>
      <c r="Y5" s="49" t="s">
        <v>384</v>
      </c>
      <c r="Z5" s="50"/>
      <c r="AA5" s="50"/>
      <c r="AB5" s="50"/>
      <c r="AC5" s="50"/>
      <c r="AD5" s="50"/>
      <c r="AE5" s="50"/>
      <c r="AF5" s="50"/>
      <c r="AG5" s="50"/>
      <c r="AH5" s="50"/>
      <c r="AI5" s="50"/>
      <c r="AJ5" s="50"/>
      <c r="AK5" s="50"/>
      <c r="AL5" s="50"/>
      <c r="AM5" s="50"/>
      <c r="AN5" s="50"/>
      <c r="AO5" s="50"/>
      <c r="AP5" s="50"/>
      <c r="AQ5" s="50"/>
      <c r="AR5" s="50"/>
      <c r="AS5" s="50"/>
      <c r="AU5" s="49" t="s">
        <v>381</v>
      </c>
      <c r="AV5" s="50"/>
      <c r="AW5" s="50"/>
      <c r="AX5" s="50"/>
      <c r="AY5" s="50"/>
      <c r="AZ5" s="50"/>
      <c r="BA5" s="50"/>
      <c r="BB5" s="50"/>
      <c r="BC5" s="50"/>
      <c r="BD5" s="50"/>
      <c r="BE5" s="50"/>
      <c r="BF5" s="50"/>
      <c r="BG5" s="50"/>
      <c r="BH5" s="50"/>
      <c r="BI5" s="50"/>
      <c r="BJ5" s="50"/>
      <c r="BK5" s="50"/>
      <c r="BL5" s="50"/>
      <c r="BM5" s="50"/>
      <c r="BN5" s="50"/>
      <c r="BO5" s="50"/>
    </row>
    <row r="6" spans="1:67" x14ac:dyDescent="0.25">
      <c r="A6" s="57"/>
    </row>
    <row r="7" spans="1:67" x14ac:dyDescent="0.25">
      <c r="A7" s="57"/>
      <c r="C7" s="30" t="s">
        <v>173</v>
      </c>
      <c r="D7" s="54" cm="1">
        <f t="array" ref="D7:W7">years</f>
        <v>2018</v>
      </c>
      <c r="E7" s="53">
        <v>2019</v>
      </c>
      <c r="F7" s="53">
        <v>2020</v>
      </c>
      <c r="G7" s="53">
        <v>2021</v>
      </c>
      <c r="H7" s="53">
        <v>2022</v>
      </c>
      <c r="I7" s="53">
        <v>2023</v>
      </c>
      <c r="J7" s="53">
        <v>2024</v>
      </c>
      <c r="K7" s="53">
        <v>2025</v>
      </c>
      <c r="L7" s="53">
        <v>2026</v>
      </c>
      <c r="M7" s="53">
        <v>2027</v>
      </c>
      <c r="N7" s="53">
        <v>2028</v>
      </c>
      <c r="O7" s="53">
        <v>2029</v>
      </c>
      <c r="P7" s="53">
        <v>2030</v>
      </c>
      <c r="Q7" s="53">
        <v>2031</v>
      </c>
      <c r="R7" s="53">
        <v>2032</v>
      </c>
      <c r="S7" s="53">
        <v>2033</v>
      </c>
      <c r="T7" s="53">
        <v>2034</v>
      </c>
      <c r="U7" s="53">
        <v>2035</v>
      </c>
      <c r="V7" s="53">
        <v>2036</v>
      </c>
      <c r="W7" s="53">
        <v>2037</v>
      </c>
      <c r="Z7" s="196" cm="1">
        <f t="array" ref="Z7:AS7">years</f>
        <v>2018</v>
      </c>
      <c r="AA7" s="197">
        <v>2019</v>
      </c>
      <c r="AB7" s="197">
        <v>2020</v>
      </c>
      <c r="AC7" s="197">
        <v>2021</v>
      </c>
      <c r="AD7" s="197">
        <v>2022</v>
      </c>
      <c r="AE7" s="197">
        <v>2023</v>
      </c>
      <c r="AF7" s="197">
        <v>2024</v>
      </c>
      <c r="AG7" s="197">
        <v>2025</v>
      </c>
      <c r="AH7" s="197">
        <v>2026</v>
      </c>
      <c r="AI7" s="197">
        <v>2027</v>
      </c>
      <c r="AJ7" s="197">
        <v>2028</v>
      </c>
      <c r="AK7" s="197">
        <v>2029</v>
      </c>
      <c r="AL7" s="197">
        <v>2030</v>
      </c>
      <c r="AM7" s="197">
        <v>2031</v>
      </c>
      <c r="AN7" s="197">
        <v>2032</v>
      </c>
      <c r="AO7" s="197">
        <v>2033</v>
      </c>
      <c r="AP7" s="197">
        <v>2034</v>
      </c>
      <c r="AQ7" s="197">
        <v>2035</v>
      </c>
      <c r="AR7" s="197">
        <v>2036</v>
      </c>
      <c r="AS7" s="197">
        <v>2037</v>
      </c>
      <c r="AV7" s="196" cm="1">
        <f t="array" ref="AV7:BO7">years</f>
        <v>2018</v>
      </c>
      <c r="AW7" s="197">
        <v>2019</v>
      </c>
      <c r="AX7" s="197">
        <v>2020</v>
      </c>
      <c r="AY7" s="197">
        <v>2021</v>
      </c>
      <c r="AZ7" s="197">
        <v>2022</v>
      </c>
      <c r="BA7" s="197">
        <v>2023</v>
      </c>
      <c r="BB7" s="197">
        <v>2024</v>
      </c>
      <c r="BC7" s="197">
        <v>2025</v>
      </c>
      <c r="BD7" s="197">
        <v>2026</v>
      </c>
      <c r="BE7" s="197">
        <v>2027</v>
      </c>
      <c r="BF7" s="197">
        <v>2028</v>
      </c>
      <c r="BG7" s="197">
        <v>2029</v>
      </c>
      <c r="BH7" s="197">
        <v>2030</v>
      </c>
      <c r="BI7" s="197">
        <v>2031</v>
      </c>
      <c r="BJ7" s="197">
        <v>2032</v>
      </c>
      <c r="BK7" s="197">
        <v>2033</v>
      </c>
      <c r="BL7" s="197">
        <v>2034</v>
      </c>
      <c r="BM7" s="197">
        <v>2035</v>
      </c>
      <c r="BN7" s="197">
        <v>2036</v>
      </c>
      <c r="BO7" s="197">
        <v>2037</v>
      </c>
    </row>
    <row r="8" spans="1:67" x14ac:dyDescent="0.25">
      <c r="A8" s="42" t="str" cm="1">
        <f t="array" ref="A8:A23">core_elements</f>
        <v>Application server hardware</v>
      </c>
      <c r="B8" s="18"/>
      <c r="C8" s="18"/>
      <c r="D8" s="5" cm="1">
        <f t="array" ref="D8:W23">unit_costs_core_capex*core_increm_capex</f>
        <v>4171194.15293644</v>
      </c>
      <c r="E8" s="212">
        <v>0</v>
      </c>
      <c r="F8" s="212">
        <v>0</v>
      </c>
      <c r="G8" s="212">
        <v>0</v>
      </c>
      <c r="H8" s="212">
        <v>0</v>
      </c>
      <c r="I8" s="212">
        <v>0</v>
      </c>
      <c r="J8" s="212">
        <v>0</v>
      </c>
      <c r="K8" s="212">
        <v>0</v>
      </c>
      <c r="L8" s="212">
        <v>3292779.1824443201</v>
      </c>
      <c r="M8" s="5">
        <v>0</v>
      </c>
      <c r="N8" s="5">
        <v>0</v>
      </c>
      <c r="O8" s="5">
        <v>0</v>
      </c>
      <c r="P8" s="5">
        <v>0</v>
      </c>
      <c r="Q8" s="5">
        <v>0</v>
      </c>
      <c r="R8" s="5">
        <v>0</v>
      </c>
      <c r="S8" s="5">
        <v>0</v>
      </c>
      <c r="T8" s="5">
        <v>2599350.2931782375</v>
      </c>
      <c r="U8" s="5">
        <v>0</v>
      </c>
      <c r="V8" s="5">
        <v>0</v>
      </c>
      <c r="W8" s="5">
        <v>0</v>
      </c>
      <c r="X8" s="82"/>
      <c r="Y8" s="82"/>
      <c r="Z8" s="5" cm="1">
        <f t="array" ref="Z8:AS23">unit_costs_core_capex*core_increm_noincoming_capex</f>
        <v>2085597.07646822</v>
      </c>
      <c r="AA8" s="212">
        <v>0</v>
      </c>
      <c r="AB8" s="212">
        <v>0</v>
      </c>
      <c r="AC8" s="212">
        <v>0</v>
      </c>
      <c r="AD8" s="212">
        <v>0</v>
      </c>
      <c r="AE8" s="212">
        <v>0</v>
      </c>
      <c r="AF8" s="212">
        <v>0</v>
      </c>
      <c r="AG8" s="212">
        <v>0</v>
      </c>
      <c r="AH8" s="212">
        <v>1646389.59122216</v>
      </c>
      <c r="AI8" s="5">
        <v>0</v>
      </c>
      <c r="AJ8" s="5">
        <v>0</v>
      </c>
      <c r="AK8" s="5">
        <v>0</v>
      </c>
      <c r="AL8" s="5">
        <v>0</v>
      </c>
      <c r="AM8" s="5">
        <v>0</v>
      </c>
      <c r="AN8" s="5">
        <v>0</v>
      </c>
      <c r="AO8" s="5">
        <v>0</v>
      </c>
      <c r="AP8" s="5">
        <v>1299675.1465891188</v>
      </c>
      <c r="AQ8" s="5">
        <v>0</v>
      </c>
      <c r="AR8" s="5">
        <v>0</v>
      </c>
      <c r="AS8" s="5">
        <v>0</v>
      </c>
      <c r="AV8" s="151" cm="1">
        <f t="array" ref="AV8:BO23">unit_costs_core_capex*core_increm_incoming_only_capex</f>
        <v>2085597.07646822</v>
      </c>
      <c r="AW8" s="154">
        <v>0</v>
      </c>
      <c r="AX8" s="154">
        <v>0</v>
      </c>
      <c r="AY8" s="154">
        <v>0</v>
      </c>
      <c r="AZ8" s="154">
        <v>0</v>
      </c>
      <c r="BA8" s="154">
        <v>0</v>
      </c>
      <c r="BB8" s="154">
        <v>0</v>
      </c>
      <c r="BC8" s="154">
        <v>0</v>
      </c>
      <c r="BD8" s="154">
        <v>1646389.59122216</v>
      </c>
      <c r="BE8" s="151">
        <v>0</v>
      </c>
      <c r="BF8" s="151">
        <v>0</v>
      </c>
      <c r="BG8" s="151">
        <v>0</v>
      </c>
      <c r="BH8" s="151">
        <v>0</v>
      </c>
      <c r="BI8" s="151">
        <v>0</v>
      </c>
      <c r="BJ8" s="151">
        <v>0</v>
      </c>
      <c r="BK8" s="151">
        <v>0</v>
      </c>
      <c r="BL8" s="151">
        <v>1299675.1465891188</v>
      </c>
      <c r="BM8" s="151">
        <v>0</v>
      </c>
      <c r="BN8" s="151">
        <v>0</v>
      </c>
      <c r="BO8" s="151">
        <v>0</v>
      </c>
    </row>
    <row r="9" spans="1:67" x14ac:dyDescent="0.25">
      <c r="A9" s="42" t="str">
        <v>Application server software</v>
      </c>
      <c r="B9" s="18"/>
      <c r="C9" s="18"/>
      <c r="D9" s="5">
        <v>7094409.7463549329</v>
      </c>
      <c r="E9" s="5">
        <v>0</v>
      </c>
      <c r="F9" s="5">
        <v>0</v>
      </c>
      <c r="G9" s="5">
        <v>0</v>
      </c>
      <c r="H9" s="5">
        <v>0</v>
      </c>
      <c r="I9" s="5">
        <v>0</v>
      </c>
      <c r="J9" s="5">
        <v>0</v>
      </c>
      <c r="K9" s="5">
        <v>0</v>
      </c>
      <c r="L9" s="5">
        <v>5600392.5657793693</v>
      </c>
      <c r="M9" s="5">
        <v>0</v>
      </c>
      <c r="N9" s="5">
        <v>0</v>
      </c>
      <c r="O9" s="5">
        <v>0</v>
      </c>
      <c r="P9" s="5">
        <v>0</v>
      </c>
      <c r="Q9" s="5">
        <v>0</v>
      </c>
      <c r="R9" s="5">
        <v>0</v>
      </c>
      <c r="S9" s="5">
        <v>0</v>
      </c>
      <c r="T9" s="5">
        <v>4421001.6072093491</v>
      </c>
      <c r="U9" s="5">
        <v>0</v>
      </c>
      <c r="V9" s="5">
        <v>0</v>
      </c>
      <c r="W9" s="5">
        <v>0</v>
      </c>
      <c r="X9" s="82"/>
      <c r="Y9" s="82"/>
      <c r="Z9" s="5">
        <v>3547204.8731774664</v>
      </c>
      <c r="AA9" s="5">
        <v>0</v>
      </c>
      <c r="AB9" s="5">
        <v>0</v>
      </c>
      <c r="AC9" s="5">
        <v>0</v>
      </c>
      <c r="AD9" s="5">
        <v>0</v>
      </c>
      <c r="AE9" s="5">
        <v>0</v>
      </c>
      <c r="AF9" s="5">
        <v>0</v>
      </c>
      <c r="AG9" s="5">
        <v>0</v>
      </c>
      <c r="AH9" s="5">
        <v>2800196.2828896847</v>
      </c>
      <c r="AI9" s="5">
        <v>0</v>
      </c>
      <c r="AJ9" s="5">
        <v>0</v>
      </c>
      <c r="AK9" s="5">
        <v>0</v>
      </c>
      <c r="AL9" s="5">
        <v>0</v>
      </c>
      <c r="AM9" s="5">
        <v>0</v>
      </c>
      <c r="AN9" s="5">
        <v>0</v>
      </c>
      <c r="AO9" s="5">
        <v>0</v>
      </c>
      <c r="AP9" s="5">
        <v>2210500.8036046745</v>
      </c>
      <c r="AQ9" s="5">
        <v>0</v>
      </c>
      <c r="AR9" s="5">
        <v>0</v>
      </c>
      <c r="AS9" s="5">
        <v>0</v>
      </c>
      <c r="AV9" s="151">
        <v>3547204.8731774664</v>
      </c>
      <c r="AW9" s="151">
        <v>0</v>
      </c>
      <c r="AX9" s="151">
        <v>0</v>
      </c>
      <c r="AY9" s="151">
        <v>0</v>
      </c>
      <c r="AZ9" s="151">
        <v>0</v>
      </c>
      <c r="BA9" s="151">
        <v>0</v>
      </c>
      <c r="BB9" s="151">
        <v>0</v>
      </c>
      <c r="BC9" s="151">
        <v>0</v>
      </c>
      <c r="BD9" s="151">
        <v>2800196.2828896847</v>
      </c>
      <c r="BE9" s="151">
        <v>0</v>
      </c>
      <c r="BF9" s="151">
        <v>0</v>
      </c>
      <c r="BG9" s="151">
        <v>0</v>
      </c>
      <c r="BH9" s="151">
        <v>0</v>
      </c>
      <c r="BI9" s="151">
        <v>0</v>
      </c>
      <c r="BJ9" s="151">
        <v>0</v>
      </c>
      <c r="BK9" s="151">
        <v>0</v>
      </c>
      <c r="BL9" s="151">
        <v>2210500.8036046745</v>
      </c>
      <c r="BM9" s="151">
        <v>0</v>
      </c>
      <c r="BN9" s="151">
        <v>0</v>
      </c>
      <c r="BO9" s="151">
        <v>0</v>
      </c>
    </row>
    <row r="10" spans="1:67" x14ac:dyDescent="0.25">
      <c r="A10" s="42" t="str">
        <v>Charging data function hardware</v>
      </c>
      <c r="B10" s="18"/>
      <c r="C10" s="18"/>
      <c r="D10" s="5">
        <v>3092751.0994943986</v>
      </c>
      <c r="E10" s="5">
        <v>0</v>
      </c>
      <c r="F10" s="5">
        <v>0</v>
      </c>
      <c r="G10" s="5">
        <v>0</v>
      </c>
      <c r="H10" s="5">
        <v>0</v>
      </c>
      <c r="I10" s="5">
        <v>0</v>
      </c>
      <c r="J10" s="5">
        <v>0</v>
      </c>
      <c r="K10" s="5">
        <v>0</v>
      </c>
      <c r="L10" s="5">
        <v>2441446.2773754555</v>
      </c>
      <c r="M10" s="5">
        <v>0</v>
      </c>
      <c r="N10" s="5">
        <v>0</v>
      </c>
      <c r="O10" s="5">
        <v>0</v>
      </c>
      <c r="P10" s="5">
        <v>0</v>
      </c>
      <c r="Q10" s="5">
        <v>0</v>
      </c>
      <c r="R10" s="5">
        <v>0</v>
      </c>
      <c r="S10" s="5">
        <v>0</v>
      </c>
      <c r="T10" s="5">
        <v>1927300.2364415666</v>
      </c>
      <c r="U10" s="5">
        <v>0</v>
      </c>
      <c r="V10" s="5">
        <v>0</v>
      </c>
      <c r="W10" s="5">
        <v>0</v>
      </c>
      <c r="X10" s="82"/>
      <c r="Y10" s="82"/>
      <c r="Z10" s="5">
        <v>3092751.0994943986</v>
      </c>
      <c r="AA10" s="5">
        <v>0</v>
      </c>
      <c r="AB10" s="5">
        <v>0</v>
      </c>
      <c r="AC10" s="5">
        <v>0</v>
      </c>
      <c r="AD10" s="5">
        <v>0</v>
      </c>
      <c r="AE10" s="5">
        <v>0</v>
      </c>
      <c r="AF10" s="5">
        <v>0</v>
      </c>
      <c r="AG10" s="5">
        <v>0</v>
      </c>
      <c r="AH10" s="5">
        <v>2441446.2773754555</v>
      </c>
      <c r="AI10" s="5">
        <v>0</v>
      </c>
      <c r="AJ10" s="5">
        <v>0</v>
      </c>
      <c r="AK10" s="5">
        <v>0</v>
      </c>
      <c r="AL10" s="5">
        <v>0</v>
      </c>
      <c r="AM10" s="5">
        <v>0</v>
      </c>
      <c r="AN10" s="5">
        <v>0</v>
      </c>
      <c r="AO10" s="5">
        <v>0</v>
      </c>
      <c r="AP10" s="5">
        <v>1927300.2364415666</v>
      </c>
      <c r="AQ10" s="5">
        <v>0</v>
      </c>
      <c r="AR10" s="5">
        <v>0</v>
      </c>
      <c r="AS10" s="5">
        <v>0</v>
      </c>
      <c r="AV10" s="151">
        <v>0</v>
      </c>
      <c r="AW10" s="151">
        <v>0</v>
      </c>
      <c r="AX10" s="151">
        <v>0</v>
      </c>
      <c r="AY10" s="151">
        <v>0</v>
      </c>
      <c r="AZ10" s="151">
        <v>0</v>
      </c>
      <c r="BA10" s="151">
        <v>0</v>
      </c>
      <c r="BB10" s="151">
        <v>0</v>
      </c>
      <c r="BC10" s="151">
        <v>0</v>
      </c>
      <c r="BD10" s="151">
        <v>0</v>
      </c>
      <c r="BE10" s="151">
        <v>0</v>
      </c>
      <c r="BF10" s="151">
        <v>0</v>
      </c>
      <c r="BG10" s="151">
        <v>0</v>
      </c>
      <c r="BH10" s="151">
        <v>0</v>
      </c>
      <c r="BI10" s="151">
        <v>0</v>
      </c>
      <c r="BJ10" s="151">
        <v>0</v>
      </c>
      <c r="BK10" s="151">
        <v>0</v>
      </c>
      <c r="BL10" s="151">
        <v>0</v>
      </c>
      <c r="BM10" s="151">
        <v>0</v>
      </c>
      <c r="BN10" s="151">
        <v>0</v>
      </c>
      <c r="BO10" s="151">
        <v>0</v>
      </c>
    </row>
    <row r="11" spans="1:67" x14ac:dyDescent="0.25">
      <c r="A11" s="42" t="str">
        <v>Charging data function software</v>
      </c>
      <c r="B11" s="18"/>
      <c r="C11" s="18"/>
      <c r="D11" s="5">
        <v>3682.6035055999982</v>
      </c>
      <c r="E11" s="5">
        <v>0</v>
      </c>
      <c r="F11" s="5">
        <v>0</v>
      </c>
      <c r="G11" s="5">
        <v>0</v>
      </c>
      <c r="H11" s="5">
        <v>0</v>
      </c>
      <c r="I11" s="5">
        <v>0</v>
      </c>
      <c r="J11" s="5">
        <v>0</v>
      </c>
      <c r="K11" s="5">
        <v>0</v>
      </c>
      <c r="L11" s="5">
        <v>2907.0812136375093</v>
      </c>
      <c r="M11" s="5">
        <v>0</v>
      </c>
      <c r="N11" s="5">
        <v>0</v>
      </c>
      <c r="O11" s="5">
        <v>0</v>
      </c>
      <c r="P11" s="5">
        <v>0</v>
      </c>
      <c r="Q11" s="5">
        <v>0</v>
      </c>
      <c r="R11" s="5">
        <v>0</v>
      </c>
      <c r="S11" s="5">
        <v>0</v>
      </c>
      <c r="T11" s="5">
        <v>2294.8767549460131</v>
      </c>
      <c r="U11" s="5">
        <v>0</v>
      </c>
      <c r="V11" s="5">
        <v>0</v>
      </c>
      <c r="W11" s="5">
        <v>0</v>
      </c>
      <c r="X11" s="82"/>
      <c r="Y11" s="82"/>
      <c r="Z11" s="5">
        <v>3682.6035055999982</v>
      </c>
      <c r="AA11" s="5">
        <v>0</v>
      </c>
      <c r="AB11" s="5">
        <v>0</v>
      </c>
      <c r="AC11" s="5">
        <v>0</v>
      </c>
      <c r="AD11" s="5">
        <v>0</v>
      </c>
      <c r="AE11" s="5">
        <v>0</v>
      </c>
      <c r="AF11" s="5">
        <v>0</v>
      </c>
      <c r="AG11" s="5">
        <v>0</v>
      </c>
      <c r="AH11" s="5">
        <v>2907.0812136375093</v>
      </c>
      <c r="AI11" s="5">
        <v>0</v>
      </c>
      <c r="AJ11" s="5">
        <v>0</v>
      </c>
      <c r="AK11" s="5">
        <v>0</v>
      </c>
      <c r="AL11" s="5">
        <v>0</v>
      </c>
      <c r="AM11" s="5">
        <v>0</v>
      </c>
      <c r="AN11" s="5">
        <v>0</v>
      </c>
      <c r="AO11" s="5">
        <v>0</v>
      </c>
      <c r="AP11" s="5">
        <v>2294.8767549460131</v>
      </c>
      <c r="AQ11" s="5">
        <v>0</v>
      </c>
      <c r="AR11" s="5">
        <v>0</v>
      </c>
      <c r="AS11" s="5">
        <v>0</v>
      </c>
      <c r="AV11" s="151">
        <v>0</v>
      </c>
      <c r="AW11" s="151">
        <v>0</v>
      </c>
      <c r="AX11" s="151">
        <v>0</v>
      </c>
      <c r="AY11" s="151">
        <v>0</v>
      </c>
      <c r="AZ11" s="151">
        <v>0</v>
      </c>
      <c r="BA11" s="151">
        <v>0</v>
      </c>
      <c r="BB11" s="151">
        <v>0</v>
      </c>
      <c r="BC11" s="151">
        <v>0</v>
      </c>
      <c r="BD11" s="151">
        <v>0</v>
      </c>
      <c r="BE11" s="151">
        <v>0</v>
      </c>
      <c r="BF11" s="151">
        <v>0</v>
      </c>
      <c r="BG11" s="151">
        <v>0</v>
      </c>
      <c r="BH11" s="151">
        <v>0</v>
      </c>
      <c r="BI11" s="151">
        <v>0</v>
      </c>
      <c r="BJ11" s="151">
        <v>0</v>
      </c>
      <c r="BK11" s="151">
        <v>0</v>
      </c>
      <c r="BL11" s="151">
        <v>0</v>
      </c>
      <c r="BM11" s="151">
        <v>0</v>
      </c>
      <c r="BN11" s="151">
        <v>0</v>
      </c>
      <c r="BO11" s="151">
        <v>0</v>
      </c>
    </row>
    <row r="12" spans="1:67" x14ac:dyDescent="0.25">
      <c r="A12" s="42" t="str">
        <v>Proxy - Call session control function hardware</v>
      </c>
      <c r="B12" s="18"/>
      <c r="C12" s="18"/>
      <c r="D12" s="5">
        <v>0</v>
      </c>
      <c r="E12" s="5">
        <v>0</v>
      </c>
      <c r="F12" s="5">
        <v>0</v>
      </c>
      <c r="G12" s="5">
        <v>0</v>
      </c>
      <c r="H12" s="5">
        <v>0</v>
      </c>
      <c r="I12" s="5">
        <v>0</v>
      </c>
      <c r="J12" s="5">
        <v>0</v>
      </c>
      <c r="K12" s="5">
        <v>0</v>
      </c>
      <c r="L12" s="5">
        <v>0</v>
      </c>
      <c r="M12" s="5">
        <v>0</v>
      </c>
      <c r="N12" s="5">
        <v>0</v>
      </c>
      <c r="O12" s="5">
        <v>0</v>
      </c>
      <c r="P12" s="5">
        <v>0</v>
      </c>
      <c r="Q12" s="5">
        <v>0</v>
      </c>
      <c r="R12" s="5">
        <v>0</v>
      </c>
      <c r="S12" s="5">
        <v>0</v>
      </c>
      <c r="T12" s="5">
        <v>0</v>
      </c>
      <c r="U12" s="5">
        <v>0</v>
      </c>
      <c r="V12" s="5">
        <v>0</v>
      </c>
      <c r="W12" s="5">
        <v>0</v>
      </c>
      <c r="X12" s="82"/>
      <c r="Y12" s="82"/>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0</v>
      </c>
      <c r="AV12" s="151">
        <v>0</v>
      </c>
      <c r="AW12" s="151">
        <v>0</v>
      </c>
      <c r="AX12" s="151">
        <v>0</v>
      </c>
      <c r="AY12" s="151">
        <v>0</v>
      </c>
      <c r="AZ12" s="151">
        <v>0</v>
      </c>
      <c r="BA12" s="151">
        <v>0</v>
      </c>
      <c r="BB12" s="151">
        <v>0</v>
      </c>
      <c r="BC12" s="151">
        <v>0</v>
      </c>
      <c r="BD12" s="151">
        <v>0</v>
      </c>
      <c r="BE12" s="151">
        <v>0</v>
      </c>
      <c r="BF12" s="151">
        <v>0</v>
      </c>
      <c r="BG12" s="151">
        <v>0</v>
      </c>
      <c r="BH12" s="151">
        <v>0</v>
      </c>
      <c r="BI12" s="151">
        <v>0</v>
      </c>
      <c r="BJ12" s="151">
        <v>0</v>
      </c>
      <c r="BK12" s="151">
        <v>0</v>
      </c>
      <c r="BL12" s="151">
        <v>0</v>
      </c>
      <c r="BM12" s="151">
        <v>0</v>
      </c>
      <c r="BN12" s="151">
        <v>0</v>
      </c>
      <c r="BO12" s="151">
        <v>0</v>
      </c>
    </row>
    <row r="13" spans="1:67" x14ac:dyDescent="0.25">
      <c r="A13" s="42" t="str">
        <v>Proxy - Call session control function software</v>
      </c>
      <c r="B13" s="18"/>
      <c r="C13" s="18"/>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82"/>
      <c r="Y13" s="82"/>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V13" s="151">
        <v>0</v>
      </c>
      <c r="AW13" s="151">
        <v>0</v>
      </c>
      <c r="AX13" s="151">
        <v>0</v>
      </c>
      <c r="AY13" s="151">
        <v>0</v>
      </c>
      <c r="AZ13" s="151">
        <v>0</v>
      </c>
      <c r="BA13" s="151">
        <v>0</v>
      </c>
      <c r="BB13" s="151">
        <v>0</v>
      </c>
      <c r="BC13" s="151">
        <v>0</v>
      </c>
      <c r="BD13" s="151">
        <v>0</v>
      </c>
      <c r="BE13" s="151">
        <v>0</v>
      </c>
      <c r="BF13" s="151">
        <v>0</v>
      </c>
      <c r="BG13" s="151">
        <v>0</v>
      </c>
      <c r="BH13" s="151">
        <v>0</v>
      </c>
      <c r="BI13" s="151">
        <v>0</v>
      </c>
      <c r="BJ13" s="151">
        <v>0</v>
      </c>
      <c r="BK13" s="151">
        <v>0</v>
      </c>
      <c r="BL13" s="151">
        <v>0</v>
      </c>
      <c r="BM13" s="151">
        <v>0</v>
      </c>
      <c r="BN13" s="151">
        <v>0</v>
      </c>
      <c r="BO13" s="151">
        <v>0</v>
      </c>
    </row>
    <row r="14" spans="1:67" x14ac:dyDescent="0.25">
      <c r="A14" s="42" t="str">
        <v>Interrogating - Call session control function hardware</v>
      </c>
      <c r="B14" s="18"/>
      <c r="C14" s="18"/>
      <c r="D14" s="5">
        <v>1213528.8856901259</v>
      </c>
      <c r="E14" s="5">
        <v>0</v>
      </c>
      <c r="F14" s="5">
        <v>0</v>
      </c>
      <c r="G14" s="5">
        <v>0</v>
      </c>
      <c r="H14" s="5">
        <v>0</v>
      </c>
      <c r="I14" s="5">
        <v>0</v>
      </c>
      <c r="J14" s="5">
        <v>0</v>
      </c>
      <c r="K14" s="5">
        <v>0</v>
      </c>
      <c r="L14" s="5">
        <v>957970.90847048559</v>
      </c>
      <c r="M14" s="5">
        <v>0</v>
      </c>
      <c r="N14" s="5">
        <v>0</v>
      </c>
      <c r="O14" s="5">
        <v>0</v>
      </c>
      <c r="P14" s="5">
        <v>0</v>
      </c>
      <c r="Q14" s="5">
        <v>413177.06041555939</v>
      </c>
      <c r="R14" s="5">
        <v>0</v>
      </c>
      <c r="S14" s="5">
        <v>0</v>
      </c>
      <c r="T14" s="5">
        <v>756231.08135071141</v>
      </c>
      <c r="U14" s="5">
        <v>0</v>
      </c>
      <c r="V14" s="5">
        <v>0</v>
      </c>
      <c r="W14" s="5">
        <v>0</v>
      </c>
      <c r="X14" s="82"/>
      <c r="Y14" s="82"/>
      <c r="Z14" s="5">
        <v>606764.44284506293</v>
      </c>
      <c r="AA14" s="5">
        <v>0</v>
      </c>
      <c r="AB14" s="5">
        <v>0</v>
      </c>
      <c r="AC14" s="5">
        <v>0</v>
      </c>
      <c r="AD14" s="5">
        <v>0</v>
      </c>
      <c r="AE14" s="5">
        <v>0</v>
      </c>
      <c r="AF14" s="5">
        <v>0</v>
      </c>
      <c r="AG14" s="5">
        <v>0</v>
      </c>
      <c r="AH14" s="5">
        <v>478985.4542352428</v>
      </c>
      <c r="AI14" s="5">
        <v>0</v>
      </c>
      <c r="AJ14" s="5">
        <v>0</v>
      </c>
      <c r="AK14" s="5">
        <v>0</v>
      </c>
      <c r="AL14" s="5">
        <v>0</v>
      </c>
      <c r="AM14" s="5">
        <v>0</v>
      </c>
      <c r="AN14" s="5">
        <v>0</v>
      </c>
      <c r="AO14" s="5">
        <v>0</v>
      </c>
      <c r="AP14" s="5">
        <v>378115.5406753557</v>
      </c>
      <c r="AQ14" s="5">
        <v>0</v>
      </c>
      <c r="AR14" s="5">
        <v>0</v>
      </c>
      <c r="AS14" s="5">
        <v>0</v>
      </c>
      <c r="AV14" s="151">
        <v>606764.44284506293</v>
      </c>
      <c r="AW14" s="151">
        <v>0</v>
      </c>
      <c r="AX14" s="151">
        <v>0</v>
      </c>
      <c r="AY14" s="151">
        <v>0</v>
      </c>
      <c r="AZ14" s="151">
        <v>0</v>
      </c>
      <c r="BA14" s="151">
        <v>0</v>
      </c>
      <c r="BB14" s="151">
        <v>0</v>
      </c>
      <c r="BC14" s="151">
        <v>0</v>
      </c>
      <c r="BD14" s="151">
        <v>478985.4542352428</v>
      </c>
      <c r="BE14" s="151">
        <v>0</v>
      </c>
      <c r="BF14" s="151">
        <v>0</v>
      </c>
      <c r="BG14" s="151">
        <v>0</v>
      </c>
      <c r="BH14" s="151">
        <v>0</v>
      </c>
      <c r="BI14" s="151">
        <v>413177.06041555939</v>
      </c>
      <c r="BJ14" s="151">
        <v>0</v>
      </c>
      <c r="BK14" s="151">
        <v>0</v>
      </c>
      <c r="BL14" s="151">
        <v>378115.5406753557</v>
      </c>
      <c r="BM14" s="151">
        <v>0</v>
      </c>
      <c r="BN14" s="151">
        <v>0</v>
      </c>
      <c r="BO14" s="151">
        <v>0</v>
      </c>
    </row>
    <row r="15" spans="1:67" x14ac:dyDescent="0.25">
      <c r="A15" s="42" t="str">
        <v>Interrogating - Call session control function software</v>
      </c>
      <c r="B15" s="18"/>
      <c r="C15" s="18"/>
      <c r="D15" s="5">
        <v>3542028.8288989929</v>
      </c>
      <c r="E15" s="5">
        <v>0</v>
      </c>
      <c r="F15" s="5">
        <v>0</v>
      </c>
      <c r="G15" s="5">
        <v>0</v>
      </c>
      <c r="H15" s="5">
        <v>0</v>
      </c>
      <c r="I15" s="5">
        <v>0</v>
      </c>
      <c r="J15" s="5">
        <v>0</v>
      </c>
      <c r="K15" s="5">
        <v>0</v>
      </c>
      <c r="L15" s="5">
        <v>2796110.2657390395</v>
      </c>
      <c r="M15" s="5">
        <v>0</v>
      </c>
      <c r="N15" s="5">
        <v>0</v>
      </c>
      <c r="O15" s="5">
        <v>0</v>
      </c>
      <c r="P15" s="5">
        <v>0</v>
      </c>
      <c r="Q15" s="5">
        <v>0</v>
      </c>
      <c r="R15" s="5">
        <v>0</v>
      </c>
      <c r="S15" s="5">
        <v>0</v>
      </c>
      <c r="T15" s="5">
        <v>2207275.2639343902</v>
      </c>
      <c r="U15" s="5">
        <v>0</v>
      </c>
      <c r="V15" s="5">
        <v>0</v>
      </c>
      <c r="W15" s="5">
        <v>0</v>
      </c>
      <c r="X15" s="82"/>
      <c r="Y15" s="82"/>
      <c r="Z15" s="5">
        <v>1771014.4144494964</v>
      </c>
      <c r="AA15" s="5">
        <v>0</v>
      </c>
      <c r="AB15" s="5">
        <v>0</v>
      </c>
      <c r="AC15" s="5">
        <v>0</v>
      </c>
      <c r="AD15" s="5">
        <v>0</v>
      </c>
      <c r="AE15" s="5">
        <v>0</v>
      </c>
      <c r="AF15" s="5">
        <v>0</v>
      </c>
      <c r="AG15" s="5">
        <v>0</v>
      </c>
      <c r="AH15" s="5">
        <v>1398055.1328695198</v>
      </c>
      <c r="AI15" s="5">
        <v>0</v>
      </c>
      <c r="AJ15" s="5">
        <v>0</v>
      </c>
      <c r="AK15" s="5">
        <v>0</v>
      </c>
      <c r="AL15" s="5">
        <v>0</v>
      </c>
      <c r="AM15" s="5">
        <v>0</v>
      </c>
      <c r="AN15" s="5">
        <v>0</v>
      </c>
      <c r="AO15" s="5">
        <v>0</v>
      </c>
      <c r="AP15" s="5">
        <v>1103637.6319671951</v>
      </c>
      <c r="AQ15" s="5">
        <v>0</v>
      </c>
      <c r="AR15" s="5">
        <v>0</v>
      </c>
      <c r="AS15" s="5">
        <v>0</v>
      </c>
      <c r="AV15" s="151">
        <v>1771014.4144494964</v>
      </c>
      <c r="AW15" s="151">
        <v>0</v>
      </c>
      <c r="AX15" s="151">
        <v>0</v>
      </c>
      <c r="AY15" s="151">
        <v>0</v>
      </c>
      <c r="AZ15" s="151">
        <v>0</v>
      </c>
      <c r="BA15" s="151">
        <v>0</v>
      </c>
      <c r="BB15" s="151">
        <v>0</v>
      </c>
      <c r="BC15" s="151">
        <v>0</v>
      </c>
      <c r="BD15" s="151">
        <v>1398055.1328695198</v>
      </c>
      <c r="BE15" s="151">
        <v>0</v>
      </c>
      <c r="BF15" s="151">
        <v>0</v>
      </c>
      <c r="BG15" s="151">
        <v>0</v>
      </c>
      <c r="BH15" s="151">
        <v>0</v>
      </c>
      <c r="BI15" s="151">
        <v>0</v>
      </c>
      <c r="BJ15" s="151">
        <v>0</v>
      </c>
      <c r="BK15" s="151">
        <v>0</v>
      </c>
      <c r="BL15" s="151">
        <v>1103637.6319671951</v>
      </c>
      <c r="BM15" s="151">
        <v>0</v>
      </c>
      <c r="BN15" s="151">
        <v>0</v>
      </c>
      <c r="BO15" s="151">
        <v>0</v>
      </c>
    </row>
    <row r="16" spans="1:67" x14ac:dyDescent="0.25">
      <c r="A16" s="42" t="str">
        <v>Serving - Call session control function hardware</v>
      </c>
      <c r="B16" s="18"/>
      <c r="C16" s="18"/>
      <c r="D16" s="5">
        <v>1918417.2709507172</v>
      </c>
      <c r="E16" s="5">
        <v>0</v>
      </c>
      <c r="F16" s="5">
        <v>0</v>
      </c>
      <c r="G16" s="5">
        <v>0</v>
      </c>
      <c r="H16" s="5">
        <v>0</v>
      </c>
      <c r="I16" s="5">
        <v>0</v>
      </c>
      <c r="J16" s="5">
        <v>0</v>
      </c>
      <c r="K16" s="5">
        <v>0</v>
      </c>
      <c r="L16" s="5">
        <v>1514416.3089558354</v>
      </c>
      <c r="M16" s="5">
        <v>0</v>
      </c>
      <c r="N16" s="5">
        <v>0</v>
      </c>
      <c r="O16" s="5">
        <v>0</v>
      </c>
      <c r="P16" s="5">
        <v>0</v>
      </c>
      <c r="Q16" s="5">
        <v>0</v>
      </c>
      <c r="R16" s="5">
        <v>0</v>
      </c>
      <c r="S16" s="5">
        <v>0</v>
      </c>
      <c r="T16" s="5">
        <v>1195494.2188853626</v>
      </c>
      <c r="U16" s="5">
        <v>0</v>
      </c>
      <c r="V16" s="5">
        <v>0</v>
      </c>
      <c r="W16" s="5">
        <v>0</v>
      </c>
      <c r="X16" s="82"/>
      <c r="Y16" s="82"/>
      <c r="Z16" s="5">
        <v>959208.63547535858</v>
      </c>
      <c r="AA16" s="5">
        <v>0</v>
      </c>
      <c r="AB16" s="5">
        <v>0</v>
      </c>
      <c r="AC16" s="5">
        <v>0</v>
      </c>
      <c r="AD16" s="5">
        <v>0</v>
      </c>
      <c r="AE16" s="5">
        <v>0</v>
      </c>
      <c r="AF16" s="5">
        <v>0</v>
      </c>
      <c r="AG16" s="5">
        <v>0</v>
      </c>
      <c r="AH16" s="5">
        <v>757208.15447791771</v>
      </c>
      <c r="AI16" s="5">
        <v>0</v>
      </c>
      <c r="AJ16" s="5">
        <v>0</v>
      </c>
      <c r="AK16" s="5">
        <v>0</v>
      </c>
      <c r="AL16" s="5">
        <v>0</v>
      </c>
      <c r="AM16" s="5">
        <v>0</v>
      </c>
      <c r="AN16" s="5">
        <v>0</v>
      </c>
      <c r="AO16" s="5">
        <v>0</v>
      </c>
      <c r="AP16" s="5">
        <v>597747.10944268131</v>
      </c>
      <c r="AQ16" s="5">
        <v>0</v>
      </c>
      <c r="AR16" s="5">
        <v>0</v>
      </c>
      <c r="AS16" s="5">
        <v>0</v>
      </c>
      <c r="AV16" s="151">
        <v>959208.63547535858</v>
      </c>
      <c r="AW16" s="151">
        <v>0</v>
      </c>
      <c r="AX16" s="151">
        <v>0</v>
      </c>
      <c r="AY16" s="151">
        <v>0</v>
      </c>
      <c r="AZ16" s="151">
        <v>0</v>
      </c>
      <c r="BA16" s="151">
        <v>0</v>
      </c>
      <c r="BB16" s="151">
        <v>0</v>
      </c>
      <c r="BC16" s="151">
        <v>0</v>
      </c>
      <c r="BD16" s="151">
        <v>757208.15447791771</v>
      </c>
      <c r="BE16" s="151">
        <v>0</v>
      </c>
      <c r="BF16" s="151">
        <v>0</v>
      </c>
      <c r="BG16" s="151">
        <v>0</v>
      </c>
      <c r="BH16" s="151">
        <v>0</v>
      </c>
      <c r="BI16" s="151">
        <v>0</v>
      </c>
      <c r="BJ16" s="151">
        <v>0</v>
      </c>
      <c r="BK16" s="151">
        <v>0</v>
      </c>
      <c r="BL16" s="151">
        <v>597747.10944268131</v>
      </c>
      <c r="BM16" s="151">
        <v>0</v>
      </c>
      <c r="BN16" s="151">
        <v>0</v>
      </c>
      <c r="BO16" s="151">
        <v>0</v>
      </c>
    </row>
    <row r="17" spans="1:68" x14ac:dyDescent="0.25">
      <c r="A17" s="42" t="str">
        <v>Serving - Call session control function software</v>
      </c>
      <c r="B17" s="18"/>
      <c r="C17" s="18"/>
      <c r="D17" s="5">
        <v>5062193.8055098755</v>
      </c>
      <c r="E17" s="5">
        <v>0</v>
      </c>
      <c r="F17" s="5">
        <v>0</v>
      </c>
      <c r="G17" s="5">
        <v>0</v>
      </c>
      <c r="H17" s="5">
        <v>0</v>
      </c>
      <c r="I17" s="5">
        <v>0</v>
      </c>
      <c r="J17" s="5">
        <v>0</v>
      </c>
      <c r="K17" s="5">
        <v>0</v>
      </c>
      <c r="L17" s="5">
        <v>3996142.535956298</v>
      </c>
      <c r="M17" s="5">
        <v>0</v>
      </c>
      <c r="N17" s="5">
        <v>0</v>
      </c>
      <c r="O17" s="5">
        <v>0</v>
      </c>
      <c r="P17" s="5">
        <v>0</v>
      </c>
      <c r="Q17" s="5">
        <v>1723553.8275835563</v>
      </c>
      <c r="R17" s="5">
        <v>0</v>
      </c>
      <c r="S17" s="5">
        <v>0</v>
      </c>
      <c r="T17" s="5">
        <v>3154591.8195186104</v>
      </c>
      <c r="U17" s="5">
        <v>0</v>
      </c>
      <c r="V17" s="5">
        <v>0</v>
      </c>
      <c r="W17" s="5">
        <v>0</v>
      </c>
      <c r="X17" s="82"/>
      <c r="Y17" s="82"/>
      <c r="Z17" s="5">
        <v>2531096.9027549378</v>
      </c>
      <c r="AA17" s="5">
        <v>0</v>
      </c>
      <c r="AB17" s="5">
        <v>0</v>
      </c>
      <c r="AC17" s="5">
        <v>0</v>
      </c>
      <c r="AD17" s="5">
        <v>0</v>
      </c>
      <c r="AE17" s="5">
        <v>0</v>
      </c>
      <c r="AF17" s="5">
        <v>0</v>
      </c>
      <c r="AG17" s="5">
        <v>0</v>
      </c>
      <c r="AH17" s="5">
        <v>1998071.267978149</v>
      </c>
      <c r="AI17" s="5">
        <v>0</v>
      </c>
      <c r="AJ17" s="5">
        <v>0</v>
      </c>
      <c r="AK17" s="5">
        <v>0</v>
      </c>
      <c r="AL17" s="5">
        <v>0</v>
      </c>
      <c r="AM17" s="5">
        <v>0</v>
      </c>
      <c r="AN17" s="5">
        <v>0</v>
      </c>
      <c r="AO17" s="5">
        <v>0</v>
      </c>
      <c r="AP17" s="5">
        <v>1577295.9097593052</v>
      </c>
      <c r="AQ17" s="5">
        <v>0</v>
      </c>
      <c r="AR17" s="5">
        <v>0</v>
      </c>
      <c r="AS17" s="5">
        <v>0</v>
      </c>
      <c r="AV17" s="151">
        <v>2531096.9027549378</v>
      </c>
      <c r="AW17" s="151">
        <v>0</v>
      </c>
      <c r="AX17" s="151">
        <v>0</v>
      </c>
      <c r="AY17" s="151">
        <v>0</v>
      </c>
      <c r="AZ17" s="151">
        <v>0</v>
      </c>
      <c r="BA17" s="151">
        <v>0</v>
      </c>
      <c r="BB17" s="151">
        <v>0</v>
      </c>
      <c r="BC17" s="151">
        <v>0</v>
      </c>
      <c r="BD17" s="151">
        <v>1998071.267978149</v>
      </c>
      <c r="BE17" s="151">
        <v>0</v>
      </c>
      <c r="BF17" s="151">
        <v>0</v>
      </c>
      <c r="BG17" s="151">
        <v>0</v>
      </c>
      <c r="BH17" s="151">
        <v>0</v>
      </c>
      <c r="BI17" s="151">
        <v>1723553.8275835563</v>
      </c>
      <c r="BJ17" s="151">
        <v>0</v>
      </c>
      <c r="BK17" s="151">
        <v>0</v>
      </c>
      <c r="BL17" s="151">
        <v>1577295.9097593052</v>
      </c>
      <c r="BM17" s="151">
        <v>0</v>
      </c>
      <c r="BN17" s="151">
        <v>0</v>
      </c>
      <c r="BO17" s="151">
        <v>0</v>
      </c>
    </row>
    <row r="18" spans="1:68" x14ac:dyDescent="0.25">
      <c r="A18" s="42" t="str">
        <v>Media resource function - hardware</v>
      </c>
      <c r="B18" s="18"/>
      <c r="C18" s="18"/>
      <c r="D18" s="5">
        <v>51256445.935955524</v>
      </c>
      <c r="E18" s="5">
        <v>1011454.0598302061</v>
      </c>
      <c r="F18" s="5">
        <v>2160387.3122586925</v>
      </c>
      <c r="G18" s="5">
        <v>0</v>
      </c>
      <c r="H18" s="5">
        <v>0</v>
      </c>
      <c r="I18" s="5">
        <v>0</v>
      </c>
      <c r="J18" s="5">
        <v>0</v>
      </c>
      <c r="K18" s="5">
        <v>0</v>
      </c>
      <c r="L18" s="5">
        <v>40297830.797923937</v>
      </c>
      <c r="M18" s="5">
        <v>958141.40989714139</v>
      </c>
      <c r="N18" s="5">
        <v>1860468.7570818281</v>
      </c>
      <c r="O18" s="5">
        <v>150523.36222344887</v>
      </c>
      <c r="P18" s="5">
        <v>292278.37324941531</v>
      </c>
      <c r="Q18" s="5">
        <v>141882.7054608812</v>
      </c>
      <c r="R18" s="5">
        <v>137750.19947658369</v>
      </c>
      <c r="S18" s="5">
        <v>267476.11548851198</v>
      </c>
      <c r="T18" s="5">
        <v>31941322.529210657</v>
      </c>
      <c r="U18" s="5">
        <v>882426.62287660665</v>
      </c>
      <c r="V18" s="5">
        <v>1713449.7531584594</v>
      </c>
      <c r="W18" s="5">
        <v>237649.06423834388</v>
      </c>
      <c r="X18" s="82"/>
      <c r="Y18" s="82"/>
      <c r="Z18" s="5">
        <v>23961346.677377582</v>
      </c>
      <c r="AA18" s="5">
        <v>0</v>
      </c>
      <c r="AB18" s="5">
        <v>0</v>
      </c>
      <c r="AC18" s="5">
        <v>0</v>
      </c>
      <c r="AD18" s="5">
        <v>0</v>
      </c>
      <c r="AE18" s="5">
        <v>0</v>
      </c>
      <c r="AF18" s="5">
        <v>0</v>
      </c>
      <c r="AG18" s="5">
        <v>0</v>
      </c>
      <c r="AH18" s="5">
        <v>16448094.203234261</v>
      </c>
      <c r="AI18" s="5">
        <v>0</v>
      </c>
      <c r="AJ18" s="5">
        <v>155039.06309015234</v>
      </c>
      <c r="AK18" s="5">
        <v>0</v>
      </c>
      <c r="AL18" s="5">
        <v>146139.18662470765</v>
      </c>
      <c r="AM18" s="5">
        <v>0</v>
      </c>
      <c r="AN18" s="5">
        <v>137750.19947658369</v>
      </c>
      <c r="AO18" s="5">
        <v>0</v>
      </c>
      <c r="AP18" s="5">
        <v>13114120.225407626</v>
      </c>
      <c r="AQ18" s="5">
        <v>0</v>
      </c>
      <c r="AR18" s="5">
        <v>244778.53616549421</v>
      </c>
      <c r="AS18" s="5">
        <v>0</v>
      </c>
      <c r="AV18" s="151">
        <v>27295099.258577943</v>
      </c>
      <c r="AW18" s="151">
        <v>1011454.0598302061</v>
      </c>
      <c r="AX18" s="151">
        <v>2160387.3122586925</v>
      </c>
      <c r="AY18" s="151">
        <v>0</v>
      </c>
      <c r="AZ18" s="151">
        <v>0</v>
      </c>
      <c r="BA18" s="151">
        <v>0</v>
      </c>
      <c r="BB18" s="151">
        <v>0</v>
      </c>
      <c r="BC18" s="151">
        <v>0</v>
      </c>
      <c r="BD18" s="151">
        <v>23849736.594689678</v>
      </c>
      <c r="BE18" s="151">
        <v>958141.40989714139</v>
      </c>
      <c r="BF18" s="151">
        <v>1705429.6939916757</v>
      </c>
      <c r="BG18" s="151">
        <v>150523.36222344887</v>
      </c>
      <c r="BH18" s="151">
        <v>146139.18662470765</v>
      </c>
      <c r="BI18" s="151">
        <v>141882.7054608812</v>
      </c>
      <c r="BJ18" s="151">
        <v>0</v>
      </c>
      <c r="BK18" s="151">
        <v>267476.11548851198</v>
      </c>
      <c r="BL18" s="151">
        <v>18827202.30380303</v>
      </c>
      <c r="BM18" s="151">
        <v>882426.62287660665</v>
      </c>
      <c r="BN18" s="151">
        <v>1468671.2169929652</v>
      </c>
      <c r="BO18" s="151">
        <v>237649.06423834388</v>
      </c>
    </row>
    <row r="19" spans="1:68" x14ac:dyDescent="0.25">
      <c r="A19" s="42" t="str">
        <v>Media resource function - software</v>
      </c>
      <c r="B19" s="18"/>
      <c r="C19" s="18"/>
      <c r="D19" s="5">
        <v>19321399.253440611</v>
      </c>
      <c r="E19" s="5">
        <v>266080.00073594454</v>
      </c>
      <c r="F19" s="5">
        <v>904155.34230660752</v>
      </c>
      <c r="G19" s="5">
        <v>0</v>
      </c>
      <c r="H19" s="5">
        <v>0</v>
      </c>
      <c r="I19" s="5">
        <v>0</v>
      </c>
      <c r="J19" s="5">
        <v>0</v>
      </c>
      <c r="K19" s="5">
        <v>0</v>
      </c>
      <c r="L19" s="5">
        <v>15144317.295564082</v>
      </c>
      <c r="M19" s="5">
        <v>262557.51205901668</v>
      </c>
      <c r="N19" s="5">
        <v>815712.6588241295</v>
      </c>
      <c r="O19" s="5">
        <v>49497.127355833101</v>
      </c>
      <c r="P19" s="5">
        <v>96110.926904530294</v>
      </c>
      <c r="Q19" s="5">
        <v>46655.789759480729</v>
      </c>
      <c r="R19" s="5">
        <v>90593.766523263548</v>
      </c>
      <c r="S19" s="5">
        <v>43977.55656469104</v>
      </c>
      <c r="T19" s="5">
        <v>12040457.234216381</v>
      </c>
      <c r="U19" s="5">
        <v>248718.38946945634</v>
      </c>
      <c r="V19" s="5">
        <v>724422.49360035826</v>
      </c>
      <c r="W19" s="5">
        <v>78146.978813415131</v>
      </c>
      <c r="X19" s="82"/>
      <c r="Y19" s="82"/>
      <c r="Z19" s="5">
        <v>8975543.6248252485</v>
      </c>
      <c r="AA19" s="5">
        <v>0</v>
      </c>
      <c r="AB19" s="5">
        <v>0</v>
      </c>
      <c r="AC19" s="5">
        <v>0</v>
      </c>
      <c r="AD19" s="5">
        <v>0</v>
      </c>
      <c r="AE19" s="5">
        <v>0</v>
      </c>
      <c r="AF19" s="5">
        <v>0</v>
      </c>
      <c r="AG19" s="5">
        <v>0</v>
      </c>
      <c r="AH19" s="5">
        <v>6165900.6131939478</v>
      </c>
      <c r="AI19" s="5">
        <v>52511.50241180334</v>
      </c>
      <c r="AJ19" s="5">
        <v>0</v>
      </c>
      <c r="AK19" s="5">
        <v>49497.127355833101</v>
      </c>
      <c r="AL19" s="5">
        <v>0</v>
      </c>
      <c r="AM19" s="5">
        <v>46655.789759480729</v>
      </c>
      <c r="AN19" s="5">
        <v>45296.883261631774</v>
      </c>
      <c r="AO19" s="5">
        <v>0</v>
      </c>
      <c r="AP19" s="5">
        <v>4910115.5387761835</v>
      </c>
      <c r="AQ19" s="5">
        <v>41453.064911576053</v>
      </c>
      <c r="AR19" s="5">
        <v>40245.694088908793</v>
      </c>
      <c r="AS19" s="5">
        <v>39073.489406707566</v>
      </c>
      <c r="AT19" s="16"/>
      <c r="AV19" s="151">
        <v>10345855.628615363</v>
      </c>
      <c r="AW19" s="151">
        <v>266080.00073594454</v>
      </c>
      <c r="AX19" s="151">
        <v>904155.34230660752</v>
      </c>
      <c r="AY19" s="151">
        <v>0</v>
      </c>
      <c r="AZ19" s="151">
        <v>0</v>
      </c>
      <c r="BA19" s="151">
        <v>0</v>
      </c>
      <c r="BB19" s="151">
        <v>0</v>
      </c>
      <c r="BC19" s="151">
        <v>0</v>
      </c>
      <c r="BD19" s="151">
        <v>8978416.6823701337</v>
      </c>
      <c r="BE19" s="151">
        <v>210046.00964721336</v>
      </c>
      <c r="BF19" s="151">
        <v>815712.6588241295</v>
      </c>
      <c r="BG19" s="151">
        <v>0</v>
      </c>
      <c r="BH19" s="151">
        <v>96110.926904530294</v>
      </c>
      <c r="BI19" s="151">
        <v>0</v>
      </c>
      <c r="BJ19" s="151">
        <v>45296.883261631774</v>
      </c>
      <c r="BK19" s="151">
        <v>43977.55656469104</v>
      </c>
      <c r="BL19" s="151">
        <v>7130341.6954401974</v>
      </c>
      <c r="BM19" s="151">
        <v>207265.32455788026</v>
      </c>
      <c r="BN19" s="151">
        <v>684176.79951144953</v>
      </c>
      <c r="BO19" s="151">
        <v>39073.489406707566</v>
      </c>
    </row>
    <row r="20" spans="1:68" x14ac:dyDescent="0.25">
      <c r="A20" s="42" t="str">
        <v>Access session border controller - hardware</v>
      </c>
      <c r="B20" s="18"/>
      <c r="C20" s="18"/>
      <c r="D20" s="5">
        <v>18978481.270137541</v>
      </c>
      <c r="E20" s="5">
        <v>737028.39884029294</v>
      </c>
      <c r="F20" s="5">
        <v>715561.55227212899</v>
      </c>
      <c r="G20" s="5">
        <v>0</v>
      </c>
      <c r="H20" s="5">
        <v>0</v>
      </c>
      <c r="I20" s="5">
        <v>0</v>
      </c>
      <c r="J20" s="5">
        <v>0</v>
      </c>
      <c r="K20" s="5">
        <v>0</v>
      </c>
      <c r="L20" s="5">
        <v>14981788.367900642</v>
      </c>
      <c r="M20" s="5">
        <v>581817.02399614151</v>
      </c>
      <c r="N20" s="5">
        <v>564870.89708363253</v>
      </c>
      <c r="O20" s="5">
        <v>0</v>
      </c>
      <c r="P20" s="5">
        <v>0</v>
      </c>
      <c r="Q20" s="5">
        <v>0</v>
      </c>
      <c r="R20" s="5">
        <v>0</v>
      </c>
      <c r="S20" s="5">
        <v>0</v>
      </c>
      <c r="T20" s="5">
        <v>12299832.567524189</v>
      </c>
      <c r="U20" s="5">
        <v>459291.73142360675</v>
      </c>
      <c r="V20" s="5">
        <v>445914.30235301628</v>
      </c>
      <c r="W20" s="5">
        <v>0</v>
      </c>
      <c r="X20" s="216"/>
      <c r="Y20" s="82"/>
      <c r="Z20" s="5">
        <v>9109671.0096660201</v>
      </c>
      <c r="AA20" s="5">
        <v>0</v>
      </c>
      <c r="AB20" s="5">
        <v>0</v>
      </c>
      <c r="AC20" s="5">
        <v>0</v>
      </c>
      <c r="AD20" s="5">
        <v>0</v>
      </c>
      <c r="AE20" s="5">
        <v>0</v>
      </c>
      <c r="AF20" s="5">
        <v>0</v>
      </c>
      <c r="AG20" s="5">
        <v>0</v>
      </c>
      <c r="AH20" s="5">
        <v>5992715.3471602574</v>
      </c>
      <c r="AI20" s="5">
        <v>0</v>
      </c>
      <c r="AJ20" s="5">
        <v>564870.89708363253</v>
      </c>
      <c r="AK20" s="5">
        <v>0</v>
      </c>
      <c r="AL20" s="5">
        <v>0</v>
      </c>
      <c r="AM20" s="5">
        <v>0</v>
      </c>
      <c r="AN20" s="5">
        <v>0</v>
      </c>
      <c r="AO20" s="5">
        <v>0</v>
      </c>
      <c r="AP20" s="5">
        <v>4730704.8336631497</v>
      </c>
      <c r="AQ20" s="5">
        <v>0</v>
      </c>
      <c r="AR20" s="5">
        <v>445914.30235301628</v>
      </c>
      <c r="AS20" s="5">
        <v>0</v>
      </c>
      <c r="AT20" s="16"/>
      <c r="AV20" s="151">
        <v>9868810.2604715228</v>
      </c>
      <c r="AW20" s="151">
        <v>737028.39884029294</v>
      </c>
      <c r="AX20" s="151">
        <v>715561.55227212899</v>
      </c>
      <c r="AY20" s="151">
        <v>0</v>
      </c>
      <c r="AZ20" s="151">
        <v>0</v>
      </c>
      <c r="BA20" s="151">
        <v>0</v>
      </c>
      <c r="BB20" s="151">
        <v>0</v>
      </c>
      <c r="BC20" s="151">
        <v>0</v>
      </c>
      <c r="BD20" s="151">
        <v>8989073.0207403861</v>
      </c>
      <c r="BE20" s="151">
        <v>581817.02399614151</v>
      </c>
      <c r="BF20" s="151">
        <v>0</v>
      </c>
      <c r="BG20" s="151">
        <v>0</v>
      </c>
      <c r="BH20" s="151">
        <v>0</v>
      </c>
      <c r="BI20" s="151">
        <v>0</v>
      </c>
      <c r="BJ20" s="151">
        <v>0</v>
      </c>
      <c r="BK20" s="151">
        <v>0</v>
      </c>
      <c r="BL20" s="151">
        <v>7569127.7338610394</v>
      </c>
      <c r="BM20" s="151">
        <v>459291.73142360675</v>
      </c>
      <c r="BN20" s="151">
        <v>0</v>
      </c>
      <c r="BO20" s="151">
        <v>0</v>
      </c>
    </row>
    <row r="21" spans="1:68" x14ac:dyDescent="0.25">
      <c r="A21" s="42" t="str">
        <v>Access session border controller - software</v>
      </c>
      <c r="B21" s="18"/>
      <c r="C21" s="18"/>
      <c r="D21" s="5">
        <v>130023033.27391338</v>
      </c>
      <c r="E21" s="5">
        <v>2565771.4356680359</v>
      </c>
      <c r="F21" s="5">
        <v>5480288.5033686198</v>
      </c>
      <c r="G21" s="5">
        <v>0</v>
      </c>
      <c r="H21" s="5">
        <v>0</v>
      </c>
      <c r="I21" s="5">
        <v>0</v>
      </c>
      <c r="J21" s="5">
        <v>0</v>
      </c>
      <c r="K21" s="5">
        <v>0</v>
      </c>
      <c r="L21" s="5">
        <v>102224141.74505754</v>
      </c>
      <c r="M21" s="5">
        <v>2430532.3973463252</v>
      </c>
      <c r="N21" s="5">
        <v>4719480.3831967488</v>
      </c>
      <c r="O21" s="5">
        <v>381834.98245928384</v>
      </c>
      <c r="P21" s="5">
        <v>741427.15040637646</v>
      </c>
      <c r="Q21" s="5">
        <v>359916.09243027982</v>
      </c>
      <c r="R21" s="5">
        <v>349433.09944687359</v>
      </c>
      <c r="S21" s="5">
        <v>678510.87271237583</v>
      </c>
      <c r="T21" s="5">
        <v>81026055.673419654</v>
      </c>
      <c r="U21" s="5">
        <v>2238465.5052251066</v>
      </c>
      <c r="V21" s="5">
        <v>4346534.9616021486</v>
      </c>
      <c r="W21" s="5">
        <v>602848.12227491662</v>
      </c>
      <c r="X21" s="216"/>
      <c r="Y21" s="82"/>
      <c r="Z21" s="5">
        <v>60783125.310975768</v>
      </c>
      <c r="AA21" s="5">
        <v>0</v>
      </c>
      <c r="AB21" s="5">
        <v>0</v>
      </c>
      <c r="AC21" s="5">
        <v>0</v>
      </c>
      <c r="AD21" s="5">
        <v>0</v>
      </c>
      <c r="AE21" s="5">
        <v>0</v>
      </c>
      <c r="AF21" s="5">
        <v>0</v>
      </c>
      <c r="AG21" s="5">
        <v>0</v>
      </c>
      <c r="AH21" s="5">
        <v>41724139.487778589</v>
      </c>
      <c r="AI21" s="5">
        <v>0</v>
      </c>
      <c r="AJ21" s="5">
        <v>393290.03193306236</v>
      </c>
      <c r="AK21" s="5">
        <v>0</v>
      </c>
      <c r="AL21" s="5">
        <v>370713.57520318823</v>
      </c>
      <c r="AM21" s="5">
        <v>0</v>
      </c>
      <c r="AN21" s="5">
        <v>349433.09944687359</v>
      </c>
      <c r="AO21" s="5">
        <v>0</v>
      </c>
      <c r="AP21" s="5">
        <v>33266795.215509694</v>
      </c>
      <c r="AQ21" s="5">
        <v>0</v>
      </c>
      <c r="AR21" s="5">
        <v>620933.56594316405</v>
      </c>
      <c r="AS21" s="5">
        <v>0</v>
      </c>
      <c r="AT21" s="16"/>
      <c r="AV21" s="151">
        <v>69239907.962937623</v>
      </c>
      <c r="AW21" s="151">
        <v>2565771.4356680359</v>
      </c>
      <c r="AX21" s="151">
        <v>5480288.5033686198</v>
      </c>
      <c r="AY21" s="151">
        <v>0</v>
      </c>
      <c r="AZ21" s="151">
        <v>0</v>
      </c>
      <c r="BA21" s="151">
        <v>0</v>
      </c>
      <c r="BB21" s="151">
        <v>0</v>
      </c>
      <c r="BC21" s="151">
        <v>0</v>
      </c>
      <c r="BD21" s="151">
        <v>60500002.257278949</v>
      </c>
      <c r="BE21" s="151">
        <v>2430532.3973463252</v>
      </c>
      <c r="BF21" s="151">
        <v>4326190.3512636861</v>
      </c>
      <c r="BG21" s="151">
        <v>381834.98245928384</v>
      </c>
      <c r="BH21" s="151">
        <v>370713.57520318823</v>
      </c>
      <c r="BI21" s="151">
        <v>359916.09243027982</v>
      </c>
      <c r="BJ21" s="151">
        <v>0</v>
      </c>
      <c r="BK21" s="151">
        <v>678510.87271237583</v>
      </c>
      <c r="BL21" s="151">
        <v>47759260.457909957</v>
      </c>
      <c r="BM21" s="151">
        <v>2238465.5052251066</v>
      </c>
      <c r="BN21" s="151">
        <v>3725601.3956589843</v>
      </c>
      <c r="BO21" s="151">
        <v>602848.12227491662</v>
      </c>
    </row>
    <row r="22" spans="1:68" x14ac:dyDescent="0.25">
      <c r="A22" s="42" t="str">
        <v>Internet exchange point session border controller - hardware</v>
      </c>
      <c r="B22" s="18"/>
      <c r="C22" s="18"/>
      <c r="D22" s="5">
        <v>19786552.555085313</v>
      </c>
      <c r="E22" s="5">
        <v>0</v>
      </c>
      <c r="F22" s="5">
        <v>1776259.3804079476</v>
      </c>
      <c r="G22" s="5">
        <v>0</v>
      </c>
      <c r="H22" s="5">
        <v>0</v>
      </c>
      <c r="I22" s="5">
        <v>0</v>
      </c>
      <c r="J22" s="5">
        <v>0</v>
      </c>
      <c r="K22" s="5">
        <v>0</v>
      </c>
      <c r="L22" s="5">
        <v>15619687.302222339</v>
      </c>
      <c r="M22" s="5">
        <v>0</v>
      </c>
      <c r="N22" s="5">
        <v>1402195.5574307833</v>
      </c>
      <c r="O22" s="5">
        <v>0</v>
      </c>
      <c r="P22" s="5">
        <v>0</v>
      </c>
      <c r="Q22" s="5">
        <v>0</v>
      </c>
      <c r="R22" s="5">
        <v>622916.2957110852</v>
      </c>
      <c r="S22" s="5">
        <v>0</v>
      </c>
      <c r="T22" s="5">
        <v>12330325.39347044</v>
      </c>
      <c r="U22" s="5">
        <v>0</v>
      </c>
      <c r="V22" s="5">
        <v>1106906.1213498367</v>
      </c>
      <c r="W22" s="5">
        <v>0</v>
      </c>
      <c r="X22" s="216"/>
      <c r="Y22" s="82"/>
      <c r="Z22" s="5">
        <v>7537734.3066991661</v>
      </c>
      <c r="AA22" s="5">
        <v>0</v>
      </c>
      <c r="AB22" s="5">
        <v>0</v>
      </c>
      <c r="AC22" s="5">
        <v>0</v>
      </c>
      <c r="AD22" s="5">
        <v>0</v>
      </c>
      <c r="AE22" s="5">
        <v>0</v>
      </c>
      <c r="AF22" s="5">
        <v>0</v>
      </c>
      <c r="AG22" s="5">
        <v>0</v>
      </c>
      <c r="AH22" s="5">
        <v>5206562.4340741131</v>
      </c>
      <c r="AI22" s="5">
        <v>0</v>
      </c>
      <c r="AJ22" s="5">
        <v>0</v>
      </c>
      <c r="AK22" s="5">
        <v>0</v>
      </c>
      <c r="AL22" s="5">
        <v>0</v>
      </c>
      <c r="AM22" s="5">
        <v>0</v>
      </c>
      <c r="AN22" s="5">
        <v>0</v>
      </c>
      <c r="AO22" s="5">
        <v>0</v>
      </c>
      <c r="AP22" s="5">
        <v>4110108.4644901468</v>
      </c>
      <c r="AQ22" s="5">
        <v>0</v>
      </c>
      <c r="AR22" s="5">
        <v>0</v>
      </c>
      <c r="AS22" s="5">
        <v>0</v>
      </c>
      <c r="AT22" s="16"/>
      <c r="AV22" s="151">
        <v>12248818.248386145</v>
      </c>
      <c r="AW22" s="151">
        <v>0</v>
      </c>
      <c r="AX22" s="151">
        <v>1776259.3804079476</v>
      </c>
      <c r="AY22" s="151">
        <v>0</v>
      </c>
      <c r="AZ22" s="151">
        <v>0</v>
      </c>
      <c r="BA22" s="151">
        <v>0</v>
      </c>
      <c r="BB22" s="151">
        <v>0</v>
      </c>
      <c r="BC22" s="151">
        <v>0</v>
      </c>
      <c r="BD22" s="151">
        <v>10413124.868148226</v>
      </c>
      <c r="BE22" s="151">
        <v>0</v>
      </c>
      <c r="BF22" s="151">
        <v>1402195.5574307833</v>
      </c>
      <c r="BG22" s="151">
        <v>0</v>
      </c>
      <c r="BH22" s="151">
        <v>0</v>
      </c>
      <c r="BI22" s="151">
        <v>0</v>
      </c>
      <c r="BJ22" s="151">
        <v>622916.2957110852</v>
      </c>
      <c r="BK22" s="151">
        <v>0</v>
      </c>
      <c r="BL22" s="151">
        <v>8220216.9289802937</v>
      </c>
      <c r="BM22" s="151">
        <v>0</v>
      </c>
      <c r="BN22" s="151">
        <v>1106906.1213498367</v>
      </c>
      <c r="BO22" s="151">
        <v>0</v>
      </c>
    </row>
    <row r="23" spans="1:68" x14ac:dyDescent="0.25">
      <c r="A23" s="42" t="str">
        <v>Internet exchange point session border controller - software</v>
      </c>
      <c r="B23" s="18"/>
      <c r="C23" s="18"/>
      <c r="D23" s="5">
        <v>82720131.925207943</v>
      </c>
      <c r="E23" s="5">
        <v>0</v>
      </c>
      <c r="F23" s="5">
        <v>5569404.139693249</v>
      </c>
      <c r="G23" s="5">
        <v>0</v>
      </c>
      <c r="H23" s="5">
        <v>0</v>
      </c>
      <c r="I23" s="5">
        <v>0</v>
      </c>
      <c r="J23" s="5">
        <v>0</v>
      </c>
      <c r="K23" s="5">
        <v>0</v>
      </c>
      <c r="L23" s="5">
        <v>65300036.005426139</v>
      </c>
      <c r="M23" s="5">
        <v>0</v>
      </c>
      <c r="N23" s="5">
        <v>5862052.0766668133</v>
      </c>
      <c r="O23" s="5">
        <v>0</v>
      </c>
      <c r="P23" s="5">
        <v>0</v>
      </c>
      <c r="Q23" s="5">
        <v>0</v>
      </c>
      <c r="R23" s="5">
        <v>1302089.3360814326</v>
      </c>
      <c r="S23" s="5">
        <v>0</v>
      </c>
      <c r="T23" s="5">
        <v>51548451.423715875</v>
      </c>
      <c r="U23" s="5">
        <v>0</v>
      </c>
      <c r="V23" s="5">
        <v>4627558.0413499651</v>
      </c>
      <c r="W23" s="5">
        <v>1123193.6993567876</v>
      </c>
      <c r="X23" s="216" t="s">
        <v>174</v>
      </c>
      <c r="Y23" s="82"/>
      <c r="Z23" s="5">
        <v>29542904.259002838</v>
      </c>
      <c r="AA23" s="5">
        <v>0</v>
      </c>
      <c r="AB23" s="5">
        <v>0</v>
      </c>
      <c r="AC23" s="5">
        <v>0</v>
      </c>
      <c r="AD23" s="5">
        <v>0</v>
      </c>
      <c r="AE23" s="5">
        <v>0</v>
      </c>
      <c r="AF23" s="5">
        <v>0</v>
      </c>
      <c r="AG23" s="5">
        <v>0</v>
      </c>
      <c r="AH23" s="5">
        <v>20211915.906441424</v>
      </c>
      <c r="AI23" s="5">
        <v>0</v>
      </c>
      <c r="AJ23" s="5">
        <v>0</v>
      </c>
      <c r="AK23" s="5">
        <v>0</v>
      </c>
      <c r="AL23" s="5">
        <v>0</v>
      </c>
      <c r="AM23" s="5">
        <v>0</v>
      </c>
      <c r="AN23" s="5">
        <v>0</v>
      </c>
      <c r="AO23" s="5">
        <v>0</v>
      </c>
      <c r="AP23" s="5">
        <v>17182817.141238626</v>
      </c>
      <c r="AQ23" s="5">
        <v>0</v>
      </c>
      <c r="AR23" s="5">
        <v>0</v>
      </c>
      <c r="AS23" s="5">
        <v>0</v>
      </c>
      <c r="AT23" s="16"/>
      <c r="AV23" s="151">
        <v>53177227.666205108</v>
      </c>
      <c r="AW23" s="151">
        <v>0</v>
      </c>
      <c r="AX23" s="151">
        <v>5569404.139693249</v>
      </c>
      <c r="AY23" s="151">
        <v>0</v>
      </c>
      <c r="AZ23" s="151">
        <v>0</v>
      </c>
      <c r="BA23" s="151">
        <v>0</v>
      </c>
      <c r="BB23" s="151">
        <v>0</v>
      </c>
      <c r="BC23" s="151">
        <v>0</v>
      </c>
      <c r="BD23" s="151">
        <v>45088120.098984711</v>
      </c>
      <c r="BE23" s="151">
        <v>0</v>
      </c>
      <c r="BF23" s="151">
        <v>5862052.0766668133</v>
      </c>
      <c r="BG23" s="151">
        <v>0</v>
      </c>
      <c r="BH23" s="151">
        <v>0</v>
      </c>
      <c r="BI23" s="151">
        <v>0</v>
      </c>
      <c r="BJ23" s="151">
        <v>1302089.3360814326</v>
      </c>
      <c r="BK23" s="151">
        <v>0</v>
      </c>
      <c r="BL23" s="151">
        <v>34365634.282477252</v>
      </c>
      <c r="BM23" s="151">
        <v>0</v>
      </c>
      <c r="BN23" s="151">
        <v>4627558.0413499651</v>
      </c>
      <c r="BO23" s="151">
        <v>1123193.6993567876</v>
      </c>
    </row>
    <row r="24" spans="1:68" x14ac:dyDescent="0.25">
      <c r="A24" s="40"/>
      <c r="C24" s="13" t="s">
        <v>351</v>
      </c>
      <c r="M24" s="16"/>
      <c r="N24" s="16"/>
      <c r="O24" s="16"/>
      <c r="P24" s="16"/>
      <c r="Q24" s="16"/>
      <c r="R24" s="16"/>
      <c r="S24" s="16"/>
      <c r="T24" s="16"/>
      <c r="U24" s="16"/>
      <c r="V24" s="16"/>
      <c r="W24" s="16"/>
      <c r="Y24" s="22" t="s">
        <v>173</v>
      </c>
      <c r="AI24" s="16"/>
      <c r="AJ24" s="16"/>
      <c r="AK24" s="16"/>
      <c r="AL24" s="16"/>
      <c r="AM24" s="16"/>
      <c r="AN24" s="16"/>
      <c r="AO24" s="16"/>
      <c r="AP24" s="16"/>
      <c r="AQ24" s="16"/>
      <c r="AR24" s="16"/>
      <c r="AS24" s="16"/>
      <c r="AU24" s="22" t="s">
        <v>173</v>
      </c>
      <c r="BE24" s="16"/>
      <c r="BF24" s="16"/>
      <c r="BG24" s="16"/>
      <c r="BH24" s="16"/>
      <c r="BI24" s="16"/>
      <c r="BJ24" s="16"/>
      <c r="BK24" s="16"/>
      <c r="BL24" s="16"/>
      <c r="BM24" s="16"/>
      <c r="BN24" s="16"/>
      <c r="BO24" s="16"/>
    </row>
    <row r="25" spans="1:68" x14ac:dyDescent="0.25">
      <c r="A25" s="42" t="s">
        <v>175</v>
      </c>
      <c r="B25" s="18"/>
      <c r="C25" s="18"/>
      <c r="D25" s="17">
        <f>SUM(D8:D23)</f>
        <v>348184250.60708141</v>
      </c>
      <c r="E25" s="217">
        <f t="shared" ref="E25:W25" si="0">SUM(E8:E23)</f>
        <v>4580333.8950744793</v>
      </c>
      <c r="F25" s="217">
        <f t="shared" si="0"/>
        <v>16606056.230307246</v>
      </c>
      <c r="G25" s="217">
        <f t="shared" si="0"/>
        <v>0</v>
      </c>
      <c r="H25" s="217">
        <f t="shared" si="0"/>
        <v>0</v>
      </c>
      <c r="I25" s="217">
        <f t="shared" si="0"/>
        <v>0</v>
      </c>
      <c r="J25" s="217">
        <f t="shared" si="0"/>
        <v>0</v>
      </c>
      <c r="K25" s="217">
        <f t="shared" si="0"/>
        <v>0</v>
      </c>
      <c r="L25" s="217">
        <f t="shared" si="0"/>
        <v>274169966.64002913</v>
      </c>
      <c r="M25" s="217">
        <f t="shared" si="0"/>
        <v>4233048.3432986252</v>
      </c>
      <c r="N25" s="217">
        <f t="shared" si="0"/>
        <v>15224780.330283936</v>
      </c>
      <c r="O25" s="217">
        <f t="shared" si="0"/>
        <v>581855.47203856579</v>
      </c>
      <c r="P25" s="217">
        <f t="shared" si="0"/>
        <v>1129816.450560322</v>
      </c>
      <c r="Q25" s="217">
        <f t="shared" si="0"/>
        <v>2685185.4756497573</v>
      </c>
      <c r="R25" s="217">
        <f t="shared" si="0"/>
        <v>2502782.6972392388</v>
      </c>
      <c r="S25" s="217">
        <f t="shared" si="0"/>
        <v>989964.54476557882</v>
      </c>
      <c r="T25" s="217">
        <f t="shared" si="0"/>
        <v>217449984.21883035</v>
      </c>
      <c r="U25" s="217">
        <f t="shared" si="0"/>
        <v>3828902.2489947765</v>
      </c>
      <c r="V25" s="217">
        <f t="shared" si="0"/>
        <v>12964785.673413783</v>
      </c>
      <c r="W25" s="217">
        <f t="shared" si="0"/>
        <v>2041837.8646834632</v>
      </c>
      <c r="X25" s="16" t="s">
        <v>401</v>
      </c>
      <c r="Z25" s="17">
        <f>SUM(Z8:Z23)</f>
        <v>154507645.23671716</v>
      </c>
      <c r="AA25" s="17">
        <f t="shared" ref="AA25:AS25" si="1">SUM(AA8:AA23)</f>
        <v>0</v>
      </c>
      <c r="AB25" s="17">
        <f t="shared" si="1"/>
        <v>0</v>
      </c>
      <c r="AC25" s="17">
        <f t="shared" si="1"/>
        <v>0</v>
      </c>
      <c r="AD25" s="17">
        <f t="shared" si="1"/>
        <v>0</v>
      </c>
      <c r="AE25" s="17">
        <f t="shared" si="1"/>
        <v>0</v>
      </c>
      <c r="AF25" s="17">
        <f t="shared" si="1"/>
        <v>0</v>
      </c>
      <c r="AG25" s="17">
        <f t="shared" si="1"/>
        <v>0</v>
      </c>
      <c r="AH25" s="17">
        <f t="shared" si="1"/>
        <v>107272587.23414437</v>
      </c>
      <c r="AI25" s="17">
        <f t="shared" si="1"/>
        <v>52511.50241180334</v>
      </c>
      <c r="AJ25" s="17">
        <f t="shared" si="1"/>
        <v>1113199.9921068472</v>
      </c>
      <c r="AK25" s="17">
        <f t="shared" si="1"/>
        <v>49497.127355833101</v>
      </c>
      <c r="AL25" s="17">
        <f t="shared" si="1"/>
        <v>516852.76182789588</v>
      </c>
      <c r="AM25" s="17">
        <f t="shared" si="1"/>
        <v>46655.789759480729</v>
      </c>
      <c r="AN25" s="17">
        <f t="shared" si="1"/>
        <v>532480.18218508898</v>
      </c>
      <c r="AO25" s="17">
        <f t="shared" si="1"/>
        <v>0</v>
      </c>
      <c r="AP25" s="17">
        <f t="shared" si="1"/>
        <v>86411228.674320266</v>
      </c>
      <c r="AQ25" s="17">
        <f t="shared" si="1"/>
        <v>41453.064911576053</v>
      </c>
      <c r="AR25" s="17">
        <f t="shared" si="1"/>
        <v>1351872.0985505832</v>
      </c>
      <c r="AS25" s="17">
        <f t="shared" si="1"/>
        <v>39073.489406707566</v>
      </c>
      <c r="AT25" s="16" t="s">
        <v>176</v>
      </c>
      <c r="AV25" s="27">
        <f>SUM(AV8:AV23)</f>
        <v>193676605.37036425</v>
      </c>
      <c r="AW25" s="27">
        <f t="shared" ref="AW25:BO25" si="2">SUM(AW8:AW23)</f>
        <v>4580333.8950744793</v>
      </c>
      <c r="AX25" s="27">
        <f t="shared" si="2"/>
        <v>16606056.230307246</v>
      </c>
      <c r="AY25" s="27">
        <f t="shared" si="2"/>
        <v>0</v>
      </c>
      <c r="AZ25" s="27">
        <f t="shared" si="2"/>
        <v>0</v>
      </c>
      <c r="BA25" s="27">
        <f t="shared" si="2"/>
        <v>0</v>
      </c>
      <c r="BB25" s="27">
        <f t="shared" si="2"/>
        <v>0</v>
      </c>
      <c r="BC25" s="27">
        <f t="shared" si="2"/>
        <v>0</v>
      </c>
      <c r="BD25" s="27">
        <f t="shared" si="2"/>
        <v>166897379.40588474</v>
      </c>
      <c r="BE25" s="27">
        <f t="shared" si="2"/>
        <v>4180536.8408868215</v>
      </c>
      <c r="BF25" s="27">
        <f t="shared" si="2"/>
        <v>14111580.338177089</v>
      </c>
      <c r="BG25" s="27">
        <f t="shared" si="2"/>
        <v>532358.34468273271</v>
      </c>
      <c r="BH25" s="27">
        <f t="shared" si="2"/>
        <v>612963.68873242615</v>
      </c>
      <c r="BI25" s="27">
        <f t="shared" si="2"/>
        <v>2638529.6858902769</v>
      </c>
      <c r="BJ25" s="27">
        <f t="shared" si="2"/>
        <v>1970302.5150541496</v>
      </c>
      <c r="BK25" s="27">
        <f t="shared" si="2"/>
        <v>989964.54476557882</v>
      </c>
      <c r="BL25" s="27">
        <f t="shared" si="2"/>
        <v>131038755.5445101</v>
      </c>
      <c r="BM25" s="27">
        <f t="shared" si="2"/>
        <v>3787449.1840832001</v>
      </c>
      <c r="BN25" s="27">
        <f t="shared" si="2"/>
        <v>11612913.574863201</v>
      </c>
      <c r="BO25" s="27">
        <f t="shared" si="2"/>
        <v>2002764.3752767555</v>
      </c>
      <c r="BP25" s="16" t="s">
        <v>419</v>
      </c>
    </row>
    <row r="26" spans="1:68" x14ac:dyDescent="0.25">
      <c r="A26" s="42" t="s">
        <v>406</v>
      </c>
      <c r="B26" s="18"/>
      <c r="C26" s="155">
        <f>SUM(D26:W26)</f>
        <v>365989431.79041874</v>
      </c>
      <c r="D26" s="74" cm="1">
        <f t="array" ref="D26:W26">core_costs_capex/wacc_index</f>
        <v>288755110.19747865</v>
      </c>
      <c r="E26" s="74">
        <v>3167696.8774377252</v>
      </c>
      <c r="F26" s="74">
        <v>9532555.1390203722</v>
      </c>
      <c r="G26" s="74">
        <v>0</v>
      </c>
      <c r="H26" s="74">
        <v>0</v>
      </c>
      <c r="I26" s="74">
        <v>0</v>
      </c>
      <c r="J26" s="74">
        <v>0</v>
      </c>
      <c r="K26" s="74">
        <v>0</v>
      </c>
      <c r="L26" s="74">
        <v>51958024.676851071</v>
      </c>
      <c r="M26" s="74">
        <v>661971.21689261135</v>
      </c>
      <c r="N26" s="74">
        <v>1964671.9220288773</v>
      </c>
      <c r="O26" s="74">
        <v>61959.406871947678</v>
      </c>
      <c r="P26" s="74">
        <v>99278.029364804184</v>
      </c>
      <c r="Q26" s="74">
        <v>194703.01145882221</v>
      </c>
      <c r="R26" s="74">
        <v>149752.69560417079</v>
      </c>
      <c r="S26" s="74">
        <v>48879.220439380377</v>
      </c>
      <c r="T26" s="74">
        <v>8859661.6375755072</v>
      </c>
      <c r="U26" s="74">
        <v>128731.59783956758</v>
      </c>
      <c r="V26" s="74">
        <v>359690.8149018237</v>
      </c>
      <c r="W26" s="74">
        <v>46745.346653354041</v>
      </c>
      <c r="X26" s="16" t="s">
        <v>404</v>
      </c>
      <c r="Y26" s="17">
        <f>SUM(_xlfn.ANCHORARRAY(Z26))</f>
        <v>152263350.49244595</v>
      </c>
      <c r="Z26" s="27" cm="1">
        <f t="array" ref="Z26:AS26">core_costs_noincoming/wacc_index</f>
        <v>128135813.29107313</v>
      </c>
      <c r="AA26" s="27">
        <v>0</v>
      </c>
      <c r="AB26" s="27">
        <v>0</v>
      </c>
      <c r="AC26" s="27">
        <v>0</v>
      </c>
      <c r="AD26" s="27">
        <v>0</v>
      </c>
      <c r="AE26" s="27">
        <v>0</v>
      </c>
      <c r="AF26" s="27">
        <v>0</v>
      </c>
      <c r="AG26" s="27">
        <v>0</v>
      </c>
      <c r="AH26" s="27">
        <v>20329257.077159267</v>
      </c>
      <c r="AI26" s="27">
        <v>8211.8370340445927</v>
      </c>
      <c r="AJ26" s="27">
        <v>143652.17235645346</v>
      </c>
      <c r="AK26" s="27">
        <v>5270.746431391135</v>
      </c>
      <c r="AL26" s="27">
        <v>45416.336114226535</v>
      </c>
      <c r="AM26" s="27">
        <v>3383.0150097778396</v>
      </c>
      <c r="AN26" s="27">
        <v>31860.673611806869</v>
      </c>
      <c r="AO26" s="27">
        <v>0</v>
      </c>
      <c r="AP26" s="27">
        <v>3520691.2085641073</v>
      </c>
      <c r="AQ26" s="27">
        <v>1393.6943108995463</v>
      </c>
      <c r="AR26" s="27">
        <v>37505.901680105504</v>
      </c>
      <c r="AS26" s="27">
        <v>894.53910071153314</v>
      </c>
      <c r="AU26" s="17">
        <f>SUM(_xlfn.ANCHORARRAY(AV26))</f>
        <v>213726081.29797271</v>
      </c>
      <c r="AV26" s="27" cm="1">
        <f t="array" ref="AV26:BO26">core_costs_incomingonly/wacc_index</f>
        <v>160619296.90640551</v>
      </c>
      <c r="AW26" s="27">
        <v>3167696.8774377252</v>
      </c>
      <c r="AX26" s="27">
        <v>9532555.1390203722</v>
      </c>
      <c r="AY26" s="27">
        <v>0</v>
      </c>
      <c r="AZ26" s="27">
        <v>0</v>
      </c>
      <c r="BA26" s="27">
        <v>0</v>
      </c>
      <c r="BB26" s="27">
        <v>0</v>
      </c>
      <c r="BC26" s="27">
        <v>0</v>
      </c>
      <c r="BD26" s="27">
        <v>31628767.599691801</v>
      </c>
      <c r="BE26" s="27">
        <v>653759.3798585668</v>
      </c>
      <c r="BF26" s="27">
        <v>1821019.7496724238</v>
      </c>
      <c r="BG26" s="27">
        <v>56688.660440556545</v>
      </c>
      <c r="BH26" s="27">
        <v>53861.693250577649</v>
      </c>
      <c r="BI26" s="27">
        <v>191319.99644904438</v>
      </c>
      <c r="BJ26" s="27">
        <v>117892.02199236391</v>
      </c>
      <c r="BK26" s="27">
        <v>48879.220439380377</v>
      </c>
      <c r="BL26" s="27">
        <v>5338970.4290113999</v>
      </c>
      <c r="BM26" s="27">
        <v>127337.90352866802</v>
      </c>
      <c r="BN26" s="27">
        <v>322184.91322171822</v>
      </c>
      <c r="BO26" s="27">
        <v>45850.807552642509</v>
      </c>
    </row>
    <row r="27" spans="1:68" x14ac:dyDescent="0.25">
      <c r="A27" s="40"/>
      <c r="C27" s="16" t="s">
        <v>408</v>
      </c>
      <c r="L27" s="16"/>
      <c r="M27" s="16"/>
      <c r="N27" s="16"/>
      <c r="O27" s="16"/>
      <c r="P27" s="16"/>
      <c r="Q27" s="16"/>
      <c r="R27" s="16"/>
      <c r="S27" s="16"/>
      <c r="T27" s="16"/>
      <c r="U27" s="16"/>
      <c r="V27" s="16"/>
      <c r="W27" s="16"/>
      <c r="AU27" s="16" t="s">
        <v>420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83E4E-2C0C-4A26-A753-9557D5485EBB}">
  <dimension ref="A1:BP28"/>
  <sheetViews>
    <sheetView topLeftCell="AP1" zoomScaleNormal="100" workbookViewId="0">
      <selection activeCell="AU27" sqref="AU27"/>
    </sheetView>
  </sheetViews>
  <sheetFormatPr defaultColWidth="8.5703125" defaultRowHeight="15" x14ac:dyDescent="0.25"/>
  <cols>
    <col min="1" max="1" width="50.5703125" style="13" customWidth="1"/>
    <col min="2" max="4" width="15.7109375" style="13" customWidth="1"/>
    <col min="5" max="5" width="17" style="13" bestFit="1" customWidth="1"/>
    <col min="6" max="83" width="15.7109375" style="13" customWidth="1"/>
    <col min="84" max="16384" width="8.5703125" style="13"/>
  </cols>
  <sheetData>
    <row r="1" spans="1:67" ht="18.75" x14ac:dyDescent="0.3">
      <c r="A1" s="90" t="s">
        <v>177</v>
      </c>
      <c r="B1" s="128"/>
      <c r="C1" s="128"/>
      <c r="D1" s="129"/>
      <c r="E1" s="129"/>
      <c r="F1" s="129"/>
      <c r="G1" s="129"/>
      <c r="H1" s="129"/>
      <c r="I1" s="129"/>
      <c r="J1" s="129"/>
      <c r="K1" s="129"/>
      <c r="L1" s="129"/>
    </row>
    <row r="4" spans="1:67" s="22" customFormat="1" x14ac:dyDescent="0.25">
      <c r="A4" s="49" t="s">
        <v>179</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row>
    <row r="6" spans="1:67" x14ac:dyDescent="0.25">
      <c r="C6" s="49" t="s">
        <v>99</v>
      </c>
      <c r="D6" s="50"/>
      <c r="E6" s="50"/>
      <c r="F6" s="50"/>
      <c r="G6" s="50"/>
      <c r="H6" s="50"/>
      <c r="I6" s="50"/>
      <c r="J6" s="50"/>
      <c r="K6" s="50"/>
      <c r="L6" s="50"/>
      <c r="M6" s="50"/>
      <c r="N6" s="50"/>
      <c r="O6" s="50"/>
      <c r="P6" s="50"/>
      <c r="Q6" s="50"/>
      <c r="R6" s="50"/>
      <c r="S6" s="50"/>
      <c r="T6" s="50"/>
      <c r="U6" s="50"/>
      <c r="V6" s="50"/>
      <c r="W6" s="50"/>
      <c r="Z6" s="49" t="s">
        <v>131</v>
      </c>
      <c r="AA6" s="50"/>
      <c r="AB6" s="50"/>
      <c r="AC6" s="50"/>
      <c r="AD6" s="50"/>
      <c r="AE6" s="50"/>
      <c r="AF6" s="50"/>
      <c r="AG6" s="50"/>
      <c r="AH6" s="50"/>
      <c r="AI6" s="50"/>
      <c r="AJ6" s="50"/>
      <c r="AK6" s="50"/>
      <c r="AL6" s="50"/>
      <c r="AM6" s="50"/>
      <c r="AN6" s="50"/>
      <c r="AO6" s="50"/>
      <c r="AP6" s="50"/>
      <c r="AQ6" s="50"/>
      <c r="AR6" s="50"/>
      <c r="AS6" s="50"/>
      <c r="AU6" s="49" t="s">
        <v>385</v>
      </c>
      <c r="AV6" s="50"/>
      <c r="AW6" s="50"/>
      <c r="AX6" s="50"/>
      <c r="AY6" s="50"/>
      <c r="AZ6" s="50"/>
      <c r="BA6" s="50"/>
      <c r="BB6" s="50"/>
      <c r="BC6" s="50"/>
      <c r="BD6" s="50"/>
      <c r="BE6" s="50"/>
      <c r="BF6" s="50"/>
      <c r="BG6" s="50"/>
      <c r="BH6" s="50"/>
      <c r="BI6" s="50"/>
      <c r="BJ6" s="50"/>
      <c r="BK6" s="50"/>
      <c r="BL6" s="50"/>
      <c r="BM6" s="50"/>
      <c r="BN6" s="50"/>
      <c r="BO6" s="50"/>
    </row>
    <row r="7" spans="1:67" x14ac:dyDescent="0.25">
      <c r="AV7" s="13" cm="1">
        <f t="array" ref="AV7:BO7">time_index</f>
        <v>1</v>
      </c>
      <c r="AW7" s="13">
        <v>2</v>
      </c>
      <c r="AX7" s="13">
        <v>3</v>
      </c>
      <c r="AY7" s="13">
        <v>4</v>
      </c>
      <c r="AZ7" s="13">
        <v>5</v>
      </c>
      <c r="BA7" s="13">
        <v>6</v>
      </c>
      <c r="BB7" s="13">
        <v>7</v>
      </c>
      <c r="BC7" s="13">
        <v>8</v>
      </c>
      <c r="BD7" s="13">
        <v>9</v>
      </c>
      <c r="BE7" s="13">
        <v>10</v>
      </c>
      <c r="BF7" s="13">
        <v>11</v>
      </c>
      <c r="BG7" s="13">
        <v>12</v>
      </c>
      <c r="BH7" s="13">
        <v>13</v>
      </c>
      <c r="BI7" s="13">
        <v>14</v>
      </c>
      <c r="BJ7" s="13">
        <v>15</v>
      </c>
      <c r="BK7" s="13">
        <v>16</v>
      </c>
      <c r="BL7" s="13">
        <v>17</v>
      </c>
      <c r="BM7" s="13">
        <v>18</v>
      </c>
      <c r="BN7" s="13">
        <v>19</v>
      </c>
      <c r="BO7" s="13">
        <v>20</v>
      </c>
    </row>
    <row r="8" spans="1:67" x14ac:dyDescent="0.25">
      <c r="D8" s="197" cm="1">
        <f t="array" ref="D8:W8">years</f>
        <v>2018</v>
      </c>
      <c r="E8" s="197">
        <v>2019</v>
      </c>
      <c r="F8" s="197">
        <v>2020</v>
      </c>
      <c r="G8" s="197">
        <v>2021</v>
      </c>
      <c r="H8" s="197">
        <v>2022</v>
      </c>
      <c r="I8" s="197">
        <v>2023</v>
      </c>
      <c r="J8" s="197">
        <v>2024</v>
      </c>
      <c r="K8" s="197">
        <v>2025</v>
      </c>
      <c r="L8" s="197">
        <v>2026</v>
      </c>
      <c r="M8" s="197">
        <v>2027</v>
      </c>
      <c r="N8" s="197">
        <v>2028</v>
      </c>
      <c r="O8" s="197">
        <v>2029</v>
      </c>
      <c r="P8" s="197">
        <v>2030</v>
      </c>
      <c r="Q8" s="197">
        <v>2031</v>
      </c>
      <c r="R8" s="197">
        <v>2032</v>
      </c>
      <c r="S8" s="197">
        <v>2033</v>
      </c>
      <c r="T8" s="197">
        <v>2034</v>
      </c>
      <c r="U8" s="197">
        <v>2035</v>
      </c>
      <c r="V8" s="197">
        <v>2036</v>
      </c>
      <c r="W8" s="197">
        <v>2037</v>
      </c>
      <c r="Z8" s="53" cm="1">
        <f t="array" ref="Z8:AS8">years</f>
        <v>2018</v>
      </c>
      <c r="AA8" s="53">
        <v>2019</v>
      </c>
      <c r="AB8" s="53">
        <v>2020</v>
      </c>
      <c r="AC8" s="53">
        <v>2021</v>
      </c>
      <c r="AD8" s="53">
        <v>2022</v>
      </c>
      <c r="AE8" s="53">
        <v>2023</v>
      </c>
      <c r="AF8" s="53">
        <v>2024</v>
      </c>
      <c r="AG8" s="53">
        <v>2025</v>
      </c>
      <c r="AH8" s="53">
        <v>2026</v>
      </c>
      <c r="AI8" s="53">
        <v>2027</v>
      </c>
      <c r="AJ8" s="53">
        <v>2028</v>
      </c>
      <c r="AK8" s="53">
        <v>2029</v>
      </c>
      <c r="AL8" s="53">
        <v>2030</v>
      </c>
      <c r="AM8" s="53">
        <v>2031</v>
      </c>
      <c r="AN8" s="53">
        <v>2032</v>
      </c>
      <c r="AO8" s="53">
        <v>2033</v>
      </c>
      <c r="AP8" s="53">
        <v>2034</v>
      </c>
      <c r="AQ8" s="53">
        <v>2035</v>
      </c>
      <c r="AR8" s="53">
        <v>2036</v>
      </c>
      <c r="AS8" s="53">
        <v>2037</v>
      </c>
      <c r="AV8" s="53" cm="1">
        <f t="array" ref="AV8:BO8">years</f>
        <v>2018</v>
      </c>
      <c r="AW8" s="53">
        <v>2019</v>
      </c>
      <c r="AX8" s="53">
        <v>2020</v>
      </c>
      <c r="AY8" s="53">
        <v>2021</v>
      </c>
      <c r="AZ8" s="53">
        <v>2022</v>
      </c>
      <c r="BA8" s="53">
        <v>2023</v>
      </c>
      <c r="BB8" s="53">
        <v>2024</v>
      </c>
      <c r="BC8" s="53">
        <v>2025</v>
      </c>
      <c r="BD8" s="53">
        <v>2026</v>
      </c>
      <c r="BE8" s="53">
        <v>2027</v>
      </c>
      <c r="BF8" s="53">
        <v>2028</v>
      </c>
      <c r="BG8" s="53">
        <v>2029</v>
      </c>
      <c r="BH8" s="53">
        <v>2030</v>
      </c>
      <c r="BI8" s="53">
        <v>2031</v>
      </c>
      <c r="BJ8" s="53">
        <v>2032</v>
      </c>
      <c r="BK8" s="53">
        <v>2033</v>
      </c>
      <c r="BL8" s="53">
        <v>2034</v>
      </c>
      <c r="BM8" s="53">
        <v>2035</v>
      </c>
      <c r="BN8" s="53">
        <v>2036</v>
      </c>
      <c r="BO8" s="53">
        <v>2037</v>
      </c>
    </row>
    <row r="9" spans="1:67" x14ac:dyDescent="0.25">
      <c r="A9" s="18" t="str" cm="1">
        <f t="array" ref="A9:A24">core_elements</f>
        <v>Application server hardware</v>
      </c>
      <c r="B9" s="18"/>
      <c r="C9" s="18"/>
      <c r="D9" s="27" cm="1">
        <f t="array" ref="D9:W24">core_number_opex*unit_costs_core_opex</f>
        <v>333695.53223491518</v>
      </c>
      <c r="E9" s="27">
        <v>323976.24488826719</v>
      </c>
      <c r="F9" s="27">
        <v>314540.04358084191</v>
      </c>
      <c r="G9" s="27">
        <v>305378.68308819603</v>
      </c>
      <c r="H9" s="27">
        <v>296484.15833805437</v>
      </c>
      <c r="I9" s="27">
        <v>287848.69741558679</v>
      </c>
      <c r="J9" s="72">
        <v>279464.75477241434</v>
      </c>
      <c r="K9" s="72">
        <v>271325.00463341194</v>
      </c>
      <c r="L9" s="72">
        <v>263422.3345955456</v>
      </c>
      <c r="M9" s="72">
        <v>255749.83941315109</v>
      </c>
      <c r="N9" s="72">
        <v>248300.81496422432</v>
      </c>
      <c r="O9" s="72">
        <v>241068.75239245081</v>
      </c>
      <c r="P9" s="72">
        <v>234047.33241985514</v>
      </c>
      <c r="Q9" s="72">
        <v>227230.41982510209</v>
      </c>
      <c r="R9" s="72">
        <v>220612.05808262338</v>
      </c>
      <c r="S9" s="27">
        <v>214186.46415788677</v>
      </c>
      <c r="T9" s="27">
        <v>207948.023454259</v>
      </c>
      <c r="U9" s="27">
        <v>201891.28490704758</v>
      </c>
      <c r="V9" s="27">
        <v>196010.95622043454</v>
      </c>
      <c r="W9" s="27">
        <v>190301.8992431403</v>
      </c>
      <c r="X9" s="82"/>
      <c r="Y9" s="82"/>
      <c r="Z9" s="27" cm="1">
        <f t="array" ref="Z9:AS24">core_number_noincoming_voice_opex*unit_costs_core_opex</f>
        <v>166847.76611745759</v>
      </c>
      <c r="AA9" s="27">
        <v>161988.12244413359</v>
      </c>
      <c r="AB9" s="27">
        <v>157270.02179042096</v>
      </c>
      <c r="AC9" s="27">
        <v>152689.34154409802</v>
      </c>
      <c r="AD9" s="27">
        <v>148242.07916902719</v>
      </c>
      <c r="AE9" s="27">
        <v>143924.3487077934</v>
      </c>
      <c r="AF9" s="27">
        <v>139732.37738620717</v>
      </c>
      <c r="AG9" s="27">
        <v>135662.50231670597</v>
      </c>
      <c r="AH9" s="27">
        <v>131711.1672977728</v>
      </c>
      <c r="AI9" s="27">
        <v>127874.91970657554</v>
      </c>
      <c r="AJ9" s="27">
        <v>124150.40748211216</v>
      </c>
      <c r="AK9" s="27">
        <v>120534.37619622541</v>
      </c>
      <c r="AL9" s="27">
        <v>117023.66620992757</v>
      </c>
      <c r="AM9" s="27">
        <v>113615.20991255104</v>
      </c>
      <c r="AN9" s="27">
        <v>110306.02904131169</v>
      </c>
      <c r="AO9" s="27">
        <v>107093.23207894339</v>
      </c>
      <c r="AP9" s="27">
        <v>103974.0117271295</v>
      </c>
      <c r="AQ9" s="27">
        <v>100945.64245352379</v>
      </c>
      <c r="AR9" s="27">
        <v>98005.478110217271</v>
      </c>
      <c r="AS9" s="27">
        <v>95150.949621570151</v>
      </c>
      <c r="AV9" s="27" cm="1">
        <f t="array" ref="AV9:BO24">unit_costs_core_opex*core_number_incoming_only_opex</f>
        <v>166847.76611745759</v>
      </c>
      <c r="AW9" s="27">
        <v>161988.12244413359</v>
      </c>
      <c r="AX9" s="27">
        <v>157270.02179042096</v>
      </c>
      <c r="AY9" s="27">
        <v>152689.34154409802</v>
      </c>
      <c r="AZ9" s="27">
        <v>148242.07916902719</v>
      </c>
      <c r="BA9" s="27">
        <v>143924.3487077934</v>
      </c>
      <c r="BB9" s="72">
        <v>139732.37738620717</v>
      </c>
      <c r="BC9" s="72">
        <v>135662.50231670597</v>
      </c>
      <c r="BD9" s="72">
        <v>131711.1672977728</v>
      </c>
      <c r="BE9" s="72">
        <v>127874.91970657554</v>
      </c>
      <c r="BF9" s="72">
        <v>124150.40748211216</v>
      </c>
      <c r="BG9" s="72">
        <v>120534.37619622541</v>
      </c>
      <c r="BH9" s="72">
        <v>117023.66620992757</v>
      </c>
      <c r="BI9" s="72">
        <v>113615.20991255104</v>
      </c>
      <c r="BJ9" s="72">
        <v>110306.02904131169</v>
      </c>
      <c r="BK9" s="27">
        <v>107093.23207894339</v>
      </c>
      <c r="BL9" s="27">
        <v>103974.0117271295</v>
      </c>
      <c r="BM9" s="27">
        <v>100945.64245352379</v>
      </c>
      <c r="BN9" s="27">
        <v>98005.478110217271</v>
      </c>
      <c r="BO9" s="27">
        <v>95150.949621570151</v>
      </c>
    </row>
    <row r="10" spans="1:67" x14ac:dyDescent="0.25">
      <c r="A10" s="18" t="str">
        <v>Application server software</v>
      </c>
      <c r="B10" s="18"/>
      <c r="C10" s="18"/>
      <c r="D10" s="27">
        <v>567552.77970839466</v>
      </c>
      <c r="E10" s="27">
        <v>551022.11622174236</v>
      </c>
      <c r="F10" s="27">
        <v>534972.92837062362</v>
      </c>
      <c r="G10" s="27">
        <v>519391.19259283849</v>
      </c>
      <c r="H10" s="27">
        <v>504263.29377945478</v>
      </c>
      <c r="I10" s="27">
        <v>489576.01337811141</v>
      </c>
      <c r="J10" s="27">
        <v>475316.51784282661</v>
      </c>
      <c r="K10" s="27">
        <v>461472.34742022003</v>
      </c>
      <c r="L10" s="27">
        <v>448031.40526234958</v>
      </c>
      <c r="M10" s="27">
        <v>434981.94685665006</v>
      </c>
      <c r="N10" s="27">
        <v>422312.56976373785</v>
      </c>
      <c r="O10" s="27">
        <v>410012.20365411445</v>
      </c>
      <c r="P10" s="27">
        <v>398070.10063506261</v>
      </c>
      <c r="Q10" s="27">
        <v>386475.82585928403</v>
      </c>
      <c r="R10" s="27">
        <v>375219.24840707192</v>
      </c>
      <c r="S10" s="27">
        <v>364290.5324340504</v>
      </c>
      <c r="T10" s="27">
        <v>353680.12857674796</v>
      </c>
      <c r="U10" s="27">
        <v>343378.76560849312</v>
      </c>
      <c r="V10" s="27">
        <v>333377.44233834284</v>
      </c>
      <c r="W10" s="27">
        <v>323667.41974596388</v>
      </c>
      <c r="X10" s="82"/>
      <c r="Y10" s="82"/>
      <c r="Z10" s="27">
        <v>283776.38985419733</v>
      </c>
      <c r="AA10" s="27">
        <v>275511.05811087118</v>
      </c>
      <c r="AB10" s="27">
        <v>267486.46418531181</v>
      </c>
      <c r="AC10" s="27">
        <v>259695.59629641924</v>
      </c>
      <c r="AD10" s="27">
        <v>252131.64688972739</v>
      </c>
      <c r="AE10" s="27">
        <v>244788.00668905571</v>
      </c>
      <c r="AF10" s="27">
        <v>237658.2589214133</v>
      </c>
      <c r="AG10" s="27">
        <v>230736.17371011002</v>
      </c>
      <c r="AH10" s="27">
        <v>224015.70263117479</v>
      </c>
      <c r="AI10" s="27">
        <v>217490.97342832503</v>
      </c>
      <c r="AJ10" s="27">
        <v>211156.28488186892</v>
      </c>
      <c r="AK10" s="27">
        <v>205006.10182705722</v>
      </c>
      <c r="AL10" s="27">
        <v>199035.05031753131</v>
      </c>
      <c r="AM10" s="27">
        <v>193237.91292964201</v>
      </c>
      <c r="AN10" s="27">
        <v>187609.62420353596</v>
      </c>
      <c r="AO10" s="27">
        <v>182145.2662170252</v>
      </c>
      <c r="AP10" s="27">
        <v>176840.06428837398</v>
      </c>
      <c r="AQ10" s="27">
        <v>171689.38280424656</v>
      </c>
      <c r="AR10" s="27">
        <v>166688.72116917142</v>
      </c>
      <c r="AS10" s="27">
        <v>161833.70987298194</v>
      </c>
      <c r="AV10" s="27">
        <v>283776.38985419733</v>
      </c>
      <c r="AW10" s="27">
        <v>275511.05811087118</v>
      </c>
      <c r="AX10" s="27">
        <v>267486.46418531181</v>
      </c>
      <c r="AY10" s="27">
        <v>259695.59629641924</v>
      </c>
      <c r="AZ10" s="27">
        <v>252131.64688972739</v>
      </c>
      <c r="BA10" s="27">
        <v>244788.00668905571</v>
      </c>
      <c r="BB10" s="27">
        <v>237658.2589214133</v>
      </c>
      <c r="BC10" s="27">
        <v>230736.17371011002</v>
      </c>
      <c r="BD10" s="27">
        <v>224015.70263117479</v>
      </c>
      <c r="BE10" s="27">
        <v>217490.97342832503</v>
      </c>
      <c r="BF10" s="27">
        <v>211156.28488186892</v>
      </c>
      <c r="BG10" s="27">
        <v>205006.10182705722</v>
      </c>
      <c r="BH10" s="27">
        <v>199035.05031753131</v>
      </c>
      <c r="BI10" s="27">
        <v>193237.91292964201</v>
      </c>
      <c r="BJ10" s="27">
        <v>187609.62420353596</v>
      </c>
      <c r="BK10" s="27">
        <v>182145.2662170252</v>
      </c>
      <c r="BL10" s="27">
        <v>176840.06428837398</v>
      </c>
      <c r="BM10" s="27">
        <v>171689.38280424656</v>
      </c>
      <c r="BN10" s="27">
        <v>166688.72116917142</v>
      </c>
      <c r="BO10" s="27">
        <v>161833.70987298194</v>
      </c>
    </row>
    <row r="11" spans="1:67" x14ac:dyDescent="0.25">
      <c r="A11" s="18" t="str">
        <v>Charging data function hardware</v>
      </c>
      <c r="B11" s="18"/>
      <c r="C11" s="18"/>
      <c r="D11" s="27">
        <v>247420.08795955189</v>
      </c>
      <c r="E11" s="27">
        <v>240213.67763063288</v>
      </c>
      <c r="F11" s="27">
        <v>233217.16274818731</v>
      </c>
      <c r="G11" s="27">
        <v>226424.429852609</v>
      </c>
      <c r="H11" s="27">
        <v>219829.5435462223</v>
      </c>
      <c r="I11" s="27">
        <v>213426.74130701195</v>
      </c>
      <c r="J11" s="27">
        <v>207210.42845340967</v>
      </c>
      <c r="K11" s="27">
        <v>201175.17325573749</v>
      </c>
      <c r="L11" s="27">
        <v>195315.70219003645</v>
      </c>
      <c r="M11" s="27">
        <v>189626.89533013248</v>
      </c>
      <c r="N11" s="27">
        <v>184103.78187391502</v>
      </c>
      <c r="O11" s="27">
        <v>178741.53579991747</v>
      </c>
      <c r="P11" s="27">
        <v>173535.47165040535</v>
      </c>
      <c r="Q11" s="27">
        <v>168481.04043728672</v>
      </c>
      <c r="R11" s="27">
        <v>163573.82566726865</v>
      </c>
      <c r="S11" s="27">
        <v>158809.5394827851</v>
      </c>
      <c r="T11" s="27">
        <v>154184.01891532535</v>
      </c>
      <c r="U11" s="27">
        <v>149693.22224788868</v>
      </c>
      <c r="V11" s="27">
        <v>145333.22548338707</v>
      </c>
      <c r="W11" s="27">
        <v>141100.21891590976</v>
      </c>
      <c r="X11" s="82"/>
      <c r="Y11" s="82"/>
      <c r="Z11" s="27">
        <v>247420.08795955189</v>
      </c>
      <c r="AA11" s="27">
        <v>240213.67763063288</v>
      </c>
      <c r="AB11" s="27">
        <v>233217.16274818731</v>
      </c>
      <c r="AC11" s="27">
        <v>226424.429852609</v>
      </c>
      <c r="AD11" s="27">
        <v>219829.5435462223</v>
      </c>
      <c r="AE11" s="27">
        <v>213426.74130701195</v>
      </c>
      <c r="AF11" s="27">
        <v>207210.42845340967</v>
      </c>
      <c r="AG11" s="27">
        <v>201175.17325573749</v>
      </c>
      <c r="AH11" s="27">
        <v>195315.70219003645</v>
      </c>
      <c r="AI11" s="27">
        <v>189626.89533013248</v>
      </c>
      <c r="AJ11" s="27">
        <v>184103.78187391502</v>
      </c>
      <c r="AK11" s="27">
        <v>178741.53579991747</v>
      </c>
      <c r="AL11" s="27">
        <v>173535.47165040535</v>
      </c>
      <c r="AM11" s="27">
        <v>168481.04043728672</v>
      </c>
      <c r="AN11" s="27">
        <v>163573.82566726865</v>
      </c>
      <c r="AO11" s="27">
        <v>158809.5394827851</v>
      </c>
      <c r="AP11" s="27">
        <v>154184.01891532535</v>
      </c>
      <c r="AQ11" s="27">
        <v>149693.22224788868</v>
      </c>
      <c r="AR11" s="27">
        <v>145333.22548338707</v>
      </c>
      <c r="AS11" s="27">
        <v>141100.21891590976</v>
      </c>
      <c r="AV11" s="27">
        <v>0</v>
      </c>
      <c r="AW11" s="27">
        <v>0</v>
      </c>
      <c r="AX11" s="27">
        <v>0</v>
      </c>
      <c r="AY11" s="27">
        <v>0</v>
      </c>
      <c r="AZ11" s="27">
        <v>0</v>
      </c>
      <c r="BA11" s="27">
        <v>0</v>
      </c>
      <c r="BB11" s="27">
        <v>0</v>
      </c>
      <c r="BC11" s="27">
        <v>0</v>
      </c>
      <c r="BD11" s="27">
        <v>0</v>
      </c>
      <c r="BE11" s="27">
        <v>0</v>
      </c>
      <c r="BF11" s="27">
        <v>0</v>
      </c>
      <c r="BG11" s="27">
        <v>0</v>
      </c>
      <c r="BH11" s="27">
        <v>0</v>
      </c>
      <c r="BI11" s="27">
        <v>0</v>
      </c>
      <c r="BJ11" s="27">
        <v>0</v>
      </c>
      <c r="BK11" s="27">
        <v>0</v>
      </c>
      <c r="BL11" s="27">
        <v>0</v>
      </c>
      <c r="BM11" s="27">
        <v>0</v>
      </c>
      <c r="BN11" s="27">
        <v>0</v>
      </c>
      <c r="BO11" s="27">
        <v>0</v>
      </c>
    </row>
    <row r="12" spans="1:67" x14ac:dyDescent="0.25">
      <c r="A12" s="18" t="str">
        <v>Charging data function software</v>
      </c>
      <c r="B12" s="18"/>
      <c r="C12" s="18"/>
      <c r="D12" s="27">
        <v>294.60828044799985</v>
      </c>
      <c r="E12" s="27">
        <v>286.02745674563096</v>
      </c>
      <c r="F12" s="27">
        <v>277.6965599472145</v>
      </c>
      <c r="G12" s="27">
        <v>269.6083106283636</v>
      </c>
      <c r="H12" s="27">
        <v>261.75564138676071</v>
      </c>
      <c r="I12" s="27">
        <v>254.131690666758</v>
      </c>
      <c r="J12" s="27">
        <v>246.72979676384273</v>
      </c>
      <c r="K12" s="27">
        <v>239.54349200373076</v>
      </c>
      <c r="L12" s="27">
        <v>232.56649709100074</v>
      </c>
      <c r="M12" s="27">
        <v>225.79271562233083</v>
      </c>
      <c r="N12" s="27">
        <v>219.21622875954446</v>
      </c>
      <c r="O12" s="27">
        <v>212.83129005781018</v>
      </c>
      <c r="P12" s="27">
        <v>206.63232044447591</v>
      </c>
      <c r="Q12" s="27">
        <v>200.61390334415137</v>
      </c>
      <c r="R12" s="27">
        <v>194.77077994577803</v>
      </c>
      <c r="S12" s="27">
        <v>189.09784460755145</v>
      </c>
      <c r="T12" s="27">
        <v>183.59014039568106</v>
      </c>
      <c r="U12" s="27">
        <v>178.24285475308841</v>
      </c>
      <c r="V12" s="27">
        <v>173.05131529426058</v>
      </c>
      <c r="W12" s="27">
        <v>168.01098572258306</v>
      </c>
      <c r="X12" s="82"/>
      <c r="Y12" s="82"/>
      <c r="Z12" s="27">
        <v>294.60828044799985</v>
      </c>
      <c r="AA12" s="27">
        <v>286.02745674563096</v>
      </c>
      <c r="AB12" s="27">
        <v>277.6965599472145</v>
      </c>
      <c r="AC12" s="27">
        <v>269.6083106283636</v>
      </c>
      <c r="AD12" s="27">
        <v>261.75564138676071</v>
      </c>
      <c r="AE12" s="27">
        <v>254.131690666758</v>
      </c>
      <c r="AF12" s="27">
        <v>246.72979676384273</v>
      </c>
      <c r="AG12" s="27">
        <v>239.54349200373076</v>
      </c>
      <c r="AH12" s="27">
        <v>232.56649709100074</v>
      </c>
      <c r="AI12" s="27">
        <v>225.79271562233083</v>
      </c>
      <c r="AJ12" s="27">
        <v>219.21622875954446</v>
      </c>
      <c r="AK12" s="27">
        <v>212.83129005781018</v>
      </c>
      <c r="AL12" s="27">
        <v>206.63232044447591</v>
      </c>
      <c r="AM12" s="27">
        <v>200.61390334415137</v>
      </c>
      <c r="AN12" s="27">
        <v>194.77077994577803</v>
      </c>
      <c r="AO12" s="27">
        <v>189.09784460755145</v>
      </c>
      <c r="AP12" s="27">
        <v>183.59014039568106</v>
      </c>
      <c r="AQ12" s="27">
        <v>178.24285475308841</v>
      </c>
      <c r="AR12" s="27">
        <v>173.05131529426058</v>
      </c>
      <c r="AS12" s="27">
        <v>168.01098572258306</v>
      </c>
      <c r="AV12" s="27">
        <v>0</v>
      </c>
      <c r="AW12" s="27">
        <v>0</v>
      </c>
      <c r="AX12" s="27">
        <v>0</v>
      </c>
      <c r="AY12" s="27">
        <v>0</v>
      </c>
      <c r="AZ12" s="27">
        <v>0</v>
      </c>
      <c r="BA12" s="27">
        <v>0</v>
      </c>
      <c r="BB12" s="27">
        <v>0</v>
      </c>
      <c r="BC12" s="27">
        <v>0</v>
      </c>
      <c r="BD12" s="27">
        <v>0</v>
      </c>
      <c r="BE12" s="27">
        <v>0</v>
      </c>
      <c r="BF12" s="27">
        <v>0</v>
      </c>
      <c r="BG12" s="27">
        <v>0</v>
      </c>
      <c r="BH12" s="27">
        <v>0</v>
      </c>
      <c r="BI12" s="27">
        <v>0</v>
      </c>
      <c r="BJ12" s="27">
        <v>0</v>
      </c>
      <c r="BK12" s="27">
        <v>0</v>
      </c>
      <c r="BL12" s="27">
        <v>0</v>
      </c>
      <c r="BM12" s="27">
        <v>0</v>
      </c>
      <c r="BN12" s="27">
        <v>0</v>
      </c>
      <c r="BO12" s="27">
        <v>0</v>
      </c>
    </row>
    <row r="13" spans="1:67" x14ac:dyDescent="0.25">
      <c r="A13" s="18" t="str">
        <v>Proxy - Call session control function hardware</v>
      </c>
      <c r="B13" s="18"/>
      <c r="C13" s="18"/>
      <c r="D13" s="27">
        <v>0</v>
      </c>
      <c r="E13" s="27">
        <v>0</v>
      </c>
      <c r="F13" s="27">
        <v>0</v>
      </c>
      <c r="G13" s="27">
        <v>0</v>
      </c>
      <c r="H13" s="27">
        <v>0</v>
      </c>
      <c r="I13" s="27">
        <v>0</v>
      </c>
      <c r="J13" s="27">
        <v>0</v>
      </c>
      <c r="K13" s="27">
        <v>0</v>
      </c>
      <c r="L13" s="27">
        <v>0</v>
      </c>
      <c r="M13" s="27">
        <v>0</v>
      </c>
      <c r="N13" s="27">
        <v>0</v>
      </c>
      <c r="O13" s="27">
        <v>0</v>
      </c>
      <c r="P13" s="27">
        <v>0</v>
      </c>
      <c r="Q13" s="27">
        <v>0</v>
      </c>
      <c r="R13" s="27">
        <v>0</v>
      </c>
      <c r="S13" s="27">
        <v>0</v>
      </c>
      <c r="T13" s="27">
        <v>0</v>
      </c>
      <c r="U13" s="27">
        <v>0</v>
      </c>
      <c r="V13" s="27">
        <v>0</v>
      </c>
      <c r="W13" s="27">
        <v>0</v>
      </c>
      <c r="X13" s="82"/>
      <c r="Y13" s="82"/>
      <c r="Z13" s="27">
        <v>0</v>
      </c>
      <c r="AA13" s="27">
        <v>0</v>
      </c>
      <c r="AB13" s="27">
        <v>0</v>
      </c>
      <c r="AC13" s="27">
        <v>0</v>
      </c>
      <c r="AD13" s="27">
        <v>0</v>
      </c>
      <c r="AE13" s="27">
        <v>0</v>
      </c>
      <c r="AF13" s="27">
        <v>0</v>
      </c>
      <c r="AG13" s="27">
        <v>0</v>
      </c>
      <c r="AH13" s="27">
        <v>0</v>
      </c>
      <c r="AI13" s="27">
        <v>0</v>
      </c>
      <c r="AJ13" s="27">
        <v>0</v>
      </c>
      <c r="AK13" s="27">
        <v>0</v>
      </c>
      <c r="AL13" s="27">
        <v>0</v>
      </c>
      <c r="AM13" s="27">
        <v>0</v>
      </c>
      <c r="AN13" s="27">
        <v>0</v>
      </c>
      <c r="AO13" s="27">
        <v>0</v>
      </c>
      <c r="AP13" s="27">
        <v>0</v>
      </c>
      <c r="AQ13" s="27">
        <v>0</v>
      </c>
      <c r="AR13" s="27">
        <v>0</v>
      </c>
      <c r="AS13" s="27">
        <v>0</v>
      </c>
      <c r="AV13" s="27">
        <v>0</v>
      </c>
      <c r="AW13" s="27">
        <v>0</v>
      </c>
      <c r="AX13" s="27">
        <v>0</v>
      </c>
      <c r="AY13" s="27">
        <v>0</v>
      </c>
      <c r="AZ13" s="27">
        <v>0</v>
      </c>
      <c r="BA13" s="27">
        <v>0</v>
      </c>
      <c r="BB13" s="27">
        <v>0</v>
      </c>
      <c r="BC13" s="27">
        <v>0</v>
      </c>
      <c r="BD13" s="27">
        <v>0</v>
      </c>
      <c r="BE13" s="27">
        <v>0</v>
      </c>
      <c r="BF13" s="27">
        <v>0</v>
      </c>
      <c r="BG13" s="27">
        <v>0</v>
      </c>
      <c r="BH13" s="27">
        <v>0</v>
      </c>
      <c r="BI13" s="27">
        <v>0</v>
      </c>
      <c r="BJ13" s="27">
        <v>0</v>
      </c>
      <c r="BK13" s="27">
        <v>0</v>
      </c>
      <c r="BL13" s="27">
        <v>0</v>
      </c>
      <c r="BM13" s="27">
        <v>0</v>
      </c>
      <c r="BN13" s="27">
        <v>0</v>
      </c>
      <c r="BO13" s="27">
        <v>0</v>
      </c>
    </row>
    <row r="14" spans="1:67" x14ac:dyDescent="0.25">
      <c r="A14" s="18" t="str">
        <v>Proxy - Call session control function software</v>
      </c>
      <c r="B14" s="18"/>
      <c r="C14" s="18"/>
      <c r="D14" s="27">
        <v>0</v>
      </c>
      <c r="E14" s="27">
        <v>0</v>
      </c>
      <c r="F14" s="27">
        <v>0</v>
      </c>
      <c r="G14" s="27">
        <v>0</v>
      </c>
      <c r="H14" s="27">
        <v>0</v>
      </c>
      <c r="I14" s="27">
        <v>0</v>
      </c>
      <c r="J14" s="27">
        <v>0</v>
      </c>
      <c r="K14" s="27">
        <v>0</v>
      </c>
      <c r="L14" s="27">
        <v>0</v>
      </c>
      <c r="M14" s="27">
        <v>0</v>
      </c>
      <c r="N14" s="27">
        <v>0</v>
      </c>
      <c r="O14" s="27">
        <v>0</v>
      </c>
      <c r="P14" s="27">
        <v>0</v>
      </c>
      <c r="Q14" s="27">
        <v>0</v>
      </c>
      <c r="R14" s="27">
        <v>0</v>
      </c>
      <c r="S14" s="27">
        <v>0</v>
      </c>
      <c r="T14" s="27">
        <v>0</v>
      </c>
      <c r="U14" s="27">
        <v>0</v>
      </c>
      <c r="V14" s="27">
        <v>0</v>
      </c>
      <c r="W14" s="27">
        <v>0</v>
      </c>
      <c r="X14" s="82"/>
      <c r="Y14" s="82"/>
      <c r="Z14" s="27">
        <v>0</v>
      </c>
      <c r="AA14" s="27">
        <v>0</v>
      </c>
      <c r="AB14" s="27">
        <v>0</v>
      </c>
      <c r="AC14" s="27">
        <v>0</v>
      </c>
      <c r="AD14" s="27">
        <v>0</v>
      </c>
      <c r="AE14" s="27">
        <v>0</v>
      </c>
      <c r="AF14" s="27">
        <v>0</v>
      </c>
      <c r="AG14" s="27">
        <v>0</v>
      </c>
      <c r="AH14" s="27">
        <v>0</v>
      </c>
      <c r="AI14" s="27">
        <v>0</v>
      </c>
      <c r="AJ14" s="27">
        <v>0</v>
      </c>
      <c r="AK14" s="27">
        <v>0</v>
      </c>
      <c r="AL14" s="27">
        <v>0</v>
      </c>
      <c r="AM14" s="27">
        <v>0</v>
      </c>
      <c r="AN14" s="27">
        <v>0</v>
      </c>
      <c r="AO14" s="27">
        <v>0</v>
      </c>
      <c r="AP14" s="27">
        <v>0</v>
      </c>
      <c r="AQ14" s="27">
        <v>0</v>
      </c>
      <c r="AR14" s="27">
        <v>0</v>
      </c>
      <c r="AS14" s="27">
        <v>0</v>
      </c>
      <c r="AV14" s="27">
        <v>0</v>
      </c>
      <c r="AW14" s="27">
        <v>0</v>
      </c>
      <c r="AX14" s="27">
        <v>0</v>
      </c>
      <c r="AY14" s="27">
        <v>0</v>
      </c>
      <c r="AZ14" s="27">
        <v>0</v>
      </c>
      <c r="BA14" s="27">
        <v>0</v>
      </c>
      <c r="BB14" s="27">
        <v>0</v>
      </c>
      <c r="BC14" s="27">
        <v>0</v>
      </c>
      <c r="BD14" s="27">
        <v>0</v>
      </c>
      <c r="BE14" s="27">
        <v>0</v>
      </c>
      <c r="BF14" s="27">
        <v>0</v>
      </c>
      <c r="BG14" s="27">
        <v>0</v>
      </c>
      <c r="BH14" s="27">
        <v>0</v>
      </c>
      <c r="BI14" s="27">
        <v>0</v>
      </c>
      <c r="BJ14" s="27">
        <v>0</v>
      </c>
      <c r="BK14" s="27">
        <v>0</v>
      </c>
      <c r="BL14" s="27">
        <v>0</v>
      </c>
      <c r="BM14" s="27">
        <v>0</v>
      </c>
      <c r="BN14" s="27">
        <v>0</v>
      </c>
      <c r="BO14" s="27">
        <v>0</v>
      </c>
    </row>
    <row r="15" spans="1:67" x14ac:dyDescent="0.25">
      <c r="A15" s="18" t="str">
        <v>Interrogating - Call session control function hardware</v>
      </c>
      <c r="B15" s="18"/>
      <c r="C15" s="18"/>
      <c r="D15" s="27">
        <v>97082.310855210075</v>
      </c>
      <c r="E15" s="27">
        <v>94254.670733213672</v>
      </c>
      <c r="F15" s="27">
        <v>91509.38906137248</v>
      </c>
      <c r="G15" s="27">
        <v>88844.06704987619</v>
      </c>
      <c r="H15" s="27">
        <v>86256.375776578818</v>
      </c>
      <c r="I15" s="27">
        <v>83744.054152018274</v>
      </c>
      <c r="J15" s="27">
        <v>81304.906943707058</v>
      </c>
      <c r="K15" s="27">
        <v>78936.80285796801</v>
      </c>
      <c r="L15" s="27">
        <v>76637.672677638853</v>
      </c>
      <c r="M15" s="27">
        <v>74405.507454018312</v>
      </c>
      <c r="N15" s="27">
        <v>72238.356751474072</v>
      </c>
      <c r="O15" s="27">
        <v>70134.326943178719</v>
      </c>
      <c r="P15" s="27">
        <v>68091.579556484197</v>
      </c>
      <c r="Q15" s="27">
        <v>99162.494499734254</v>
      </c>
      <c r="R15" s="27">
        <v>96274.266504596366</v>
      </c>
      <c r="S15" s="27">
        <v>93470.161654947922</v>
      </c>
      <c r="T15" s="27">
        <v>90747.729762085364</v>
      </c>
      <c r="U15" s="27">
        <v>88104.592002024627</v>
      </c>
      <c r="V15" s="27">
        <v>85538.438836917107</v>
      </c>
      <c r="W15" s="27">
        <v>83047.02799700691</v>
      </c>
      <c r="X15" s="82"/>
      <c r="Y15" s="82"/>
      <c r="Z15" s="27">
        <v>48541.155427605037</v>
      </c>
      <c r="AA15" s="27">
        <v>47127.335366606836</v>
      </c>
      <c r="AB15" s="27">
        <v>45754.69453068624</v>
      </c>
      <c r="AC15" s="27">
        <v>44422.033524938095</v>
      </c>
      <c r="AD15" s="27">
        <v>43128.187888289409</v>
      </c>
      <c r="AE15" s="27">
        <v>41872.027076009137</v>
      </c>
      <c r="AF15" s="27">
        <v>40652.453471853529</v>
      </c>
      <c r="AG15" s="27">
        <v>39468.401428984005</v>
      </c>
      <c r="AH15" s="27">
        <v>38318.836338819427</v>
      </c>
      <c r="AI15" s="27">
        <v>37202.753727009156</v>
      </c>
      <c r="AJ15" s="27">
        <v>36119.178375737036</v>
      </c>
      <c r="AK15" s="27">
        <v>35067.16347158936</v>
      </c>
      <c r="AL15" s="27">
        <v>34045.789778242099</v>
      </c>
      <c r="AM15" s="27">
        <v>33054.164833244751</v>
      </c>
      <c r="AN15" s="27">
        <v>32091.422168198791</v>
      </c>
      <c r="AO15" s="27">
        <v>31156.720551649309</v>
      </c>
      <c r="AP15" s="27">
        <v>30249.243254028457</v>
      </c>
      <c r="AQ15" s="27">
        <v>29368.197334008208</v>
      </c>
      <c r="AR15" s="27">
        <v>28512.812945639034</v>
      </c>
      <c r="AS15" s="27">
        <v>27682.34266566897</v>
      </c>
      <c r="AV15" s="27">
        <v>48541.155427605037</v>
      </c>
      <c r="AW15" s="27">
        <v>47127.335366606836</v>
      </c>
      <c r="AX15" s="27">
        <v>45754.69453068624</v>
      </c>
      <c r="AY15" s="27">
        <v>44422.033524938095</v>
      </c>
      <c r="AZ15" s="27">
        <v>43128.187888289409</v>
      </c>
      <c r="BA15" s="27">
        <v>41872.027076009137</v>
      </c>
      <c r="BB15" s="27">
        <v>40652.453471853529</v>
      </c>
      <c r="BC15" s="27">
        <v>39468.401428984005</v>
      </c>
      <c r="BD15" s="27">
        <v>38318.836338819427</v>
      </c>
      <c r="BE15" s="27">
        <v>37202.753727009156</v>
      </c>
      <c r="BF15" s="27">
        <v>36119.178375737036</v>
      </c>
      <c r="BG15" s="27">
        <v>35067.16347158936</v>
      </c>
      <c r="BH15" s="27">
        <v>34045.789778242099</v>
      </c>
      <c r="BI15" s="27">
        <v>66108.329666489502</v>
      </c>
      <c r="BJ15" s="27">
        <v>64182.844336397582</v>
      </c>
      <c r="BK15" s="27">
        <v>62313.441103298617</v>
      </c>
      <c r="BL15" s="27">
        <v>60498.486508056914</v>
      </c>
      <c r="BM15" s="27">
        <v>58736.394668016415</v>
      </c>
      <c r="BN15" s="27">
        <v>57025.625891278069</v>
      </c>
      <c r="BO15" s="27">
        <v>55364.68533133794</v>
      </c>
    </row>
    <row r="16" spans="1:67" x14ac:dyDescent="0.25">
      <c r="A16" s="18" t="str">
        <v>Interrogating - Call session control function software</v>
      </c>
      <c r="B16" s="18"/>
      <c r="C16" s="18"/>
      <c r="D16" s="27">
        <v>283362.30631191941</v>
      </c>
      <c r="E16" s="27">
        <v>275109.03525429068</v>
      </c>
      <c r="F16" s="27">
        <v>267096.15073232108</v>
      </c>
      <c r="G16" s="27">
        <v>259316.6511964282</v>
      </c>
      <c r="H16" s="27">
        <v>251763.73902565846</v>
      </c>
      <c r="I16" s="27">
        <v>244430.81458801791</v>
      </c>
      <c r="J16" s="27">
        <v>237311.47047380381</v>
      </c>
      <c r="K16" s="27">
        <v>230399.48589689686</v>
      </c>
      <c r="L16" s="27">
        <v>223688.82125912316</v>
      </c>
      <c r="M16" s="27">
        <v>217173.61287293513</v>
      </c>
      <c r="N16" s="27">
        <v>210848.1678378011</v>
      </c>
      <c r="O16" s="27">
        <v>204706.95906582632</v>
      </c>
      <c r="P16" s="27">
        <v>198744.62045225856</v>
      </c>
      <c r="Q16" s="27">
        <v>192955.94218665879</v>
      </c>
      <c r="R16" s="27">
        <v>187335.8662006396</v>
      </c>
      <c r="S16" s="27">
        <v>181879.48174819376</v>
      </c>
      <c r="T16" s="27">
        <v>176582.0211147512</v>
      </c>
      <c r="U16" s="27">
        <v>171438.85545121477</v>
      </c>
      <c r="V16" s="27">
        <v>166445.49072933474</v>
      </c>
      <c r="W16" s="27">
        <v>161597.5638148881</v>
      </c>
      <c r="X16" s="82"/>
      <c r="Y16" s="82"/>
      <c r="Z16" s="27">
        <v>141681.15315595971</v>
      </c>
      <c r="AA16" s="27">
        <v>137554.51762714534</v>
      </c>
      <c r="AB16" s="27">
        <v>133548.07536616054</v>
      </c>
      <c r="AC16" s="27">
        <v>129658.3255982141</v>
      </c>
      <c r="AD16" s="27">
        <v>125881.86951282923</v>
      </c>
      <c r="AE16" s="27">
        <v>122215.40729400895</v>
      </c>
      <c r="AF16" s="27">
        <v>118655.73523690191</v>
      </c>
      <c r="AG16" s="27">
        <v>115199.74294844843</v>
      </c>
      <c r="AH16" s="27">
        <v>111844.41062956158</v>
      </c>
      <c r="AI16" s="27">
        <v>108586.80643646757</v>
      </c>
      <c r="AJ16" s="27">
        <v>105424.08391890055</v>
      </c>
      <c r="AK16" s="27">
        <v>102353.47953291316</v>
      </c>
      <c r="AL16" s="27">
        <v>99372.310226129281</v>
      </c>
      <c r="AM16" s="27">
        <v>96477.971093329397</v>
      </c>
      <c r="AN16" s="27">
        <v>93667.933100319802</v>
      </c>
      <c r="AO16" s="27">
        <v>90939.740874096882</v>
      </c>
      <c r="AP16" s="27">
        <v>88291.010557375601</v>
      </c>
      <c r="AQ16" s="27">
        <v>85719.427725607384</v>
      </c>
      <c r="AR16" s="27">
        <v>83222.745364667368</v>
      </c>
      <c r="AS16" s="27">
        <v>80798.781907444049</v>
      </c>
      <c r="AV16" s="27">
        <v>141681.15315595971</v>
      </c>
      <c r="AW16" s="27">
        <v>137554.51762714534</v>
      </c>
      <c r="AX16" s="27">
        <v>133548.07536616054</v>
      </c>
      <c r="AY16" s="27">
        <v>129658.3255982141</v>
      </c>
      <c r="AZ16" s="27">
        <v>125881.86951282923</v>
      </c>
      <c r="BA16" s="27">
        <v>122215.40729400895</v>
      </c>
      <c r="BB16" s="27">
        <v>118655.73523690191</v>
      </c>
      <c r="BC16" s="27">
        <v>115199.74294844843</v>
      </c>
      <c r="BD16" s="27">
        <v>111844.41062956158</v>
      </c>
      <c r="BE16" s="27">
        <v>108586.80643646757</v>
      </c>
      <c r="BF16" s="27">
        <v>105424.08391890055</v>
      </c>
      <c r="BG16" s="27">
        <v>102353.47953291316</v>
      </c>
      <c r="BH16" s="27">
        <v>99372.310226129281</v>
      </c>
      <c r="BI16" s="27">
        <v>96477.971093329397</v>
      </c>
      <c r="BJ16" s="27">
        <v>93667.933100319802</v>
      </c>
      <c r="BK16" s="27">
        <v>90939.740874096882</v>
      </c>
      <c r="BL16" s="27">
        <v>88291.010557375601</v>
      </c>
      <c r="BM16" s="27">
        <v>85719.427725607384</v>
      </c>
      <c r="BN16" s="27">
        <v>83222.745364667368</v>
      </c>
      <c r="BO16" s="27">
        <v>80798.781907444049</v>
      </c>
    </row>
    <row r="17" spans="1:68" x14ac:dyDescent="0.25">
      <c r="A17" s="18" t="str">
        <v>Serving - Call session control function hardware</v>
      </c>
      <c r="B17" s="18"/>
      <c r="C17" s="18"/>
      <c r="D17" s="27">
        <v>153473.38167605738</v>
      </c>
      <c r="E17" s="27">
        <v>149003.28318063825</v>
      </c>
      <c r="F17" s="27">
        <v>144663.38172877498</v>
      </c>
      <c r="G17" s="27">
        <v>140449.88517356792</v>
      </c>
      <c r="H17" s="27">
        <v>136359.11181899798</v>
      </c>
      <c r="I17" s="27">
        <v>132387.48720291068</v>
      </c>
      <c r="J17" s="27">
        <v>128531.54097369967</v>
      </c>
      <c r="K17" s="27">
        <v>124787.90385796083</v>
      </c>
      <c r="L17" s="27">
        <v>121153.30471646684</v>
      </c>
      <c r="M17" s="27">
        <v>117624.56768589013</v>
      </c>
      <c r="N17" s="27">
        <v>114198.60940377682</v>
      </c>
      <c r="O17" s="27">
        <v>110872.43631434644</v>
      </c>
      <c r="P17" s="27">
        <v>107643.14205276353</v>
      </c>
      <c r="Q17" s="27">
        <v>104507.90490559566</v>
      </c>
      <c r="R17" s="27">
        <v>101463.9853452385</v>
      </c>
      <c r="S17" s="27">
        <v>98508.723636153882</v>
      </c>
      <c r="T17" s="27">
        <v>95639.537510829017</v>
      </c>
      <c r="U17" s="27">
        <v>92853.919913426216</v>
      </c>
      <c r="V17" s="27">
        <v>90149.436809151652</v>
      </c>
      <c r="W17" s="27">
        <v>87523.725057428805</v>
      </c>
      <c r="X17" s="82"/>
      <c r="Y17" s="82"/>
      <c r="Z17" s="27">
        <v>76736.690838028691</v>
      </c>
      <c r="AA17" s="27">
        <v>74501.641590319123</v>
      </c>
      <c r="AB17" s="27">
        <v>72331.690864387492</v>
      </c>
      <c r="AC17" s="27">
        <v>70224.94258678396</v>
      </c>
      <c r="AD17" s="27">
        <v>68179.555909498988</v>
      </c>
      <c r="AE17" s="27">
        <v>66193.743601455339</v>
      </c>
      <c r="AF17" s="27">
        <v>64265.770486849833</v>
      </c>
      <c r="AG17" s="27">
        <v>62393.951928980416</v>
      </c>
      <c r="AH17" s="27">
        <v>60576.652358233419</v>
      </c>
      <c r="AI17" s="27">
        <v>58812.283842945064</v>
      </c>
      <c r="AJ17" s="27">
        <v>57099.30470188841</v>
      </c>
      <c r="AK17" s="27">
        <v>55436.218157173222</v>
      </c>
      <c r="AL17" s="27">
        <v>53821.571026381767</v>
      </c>
      <c r="AM17" s="27">
        <v>52253.952452797828</v>
      </c>
      <c r="AN17" s="27">
        <v>50731.99267261925</v>
      </c>
      <c r="AO17" s="27">
        <v>49254.361818076941</v>
      </c>
      <c r="AP17" s="27">
        <v>47819.768755414509</v>
      </c>
      <c r="AQ17" s="27">
        <v>46426.959956713108</v>
      </c>
      <c r="AR17" s="27">
        <v>45074.718404575826</v>
      </c>
      <c r="AS17" s="27">
        <v>43761.862528714402</v>
      </c>
      <c r="AV17" s="27">
        <v>76736.690838028691</v>
      </c>
      <c r="AW17" s="27">
        <v>74501.641590319123</v>
      </c>
      <c r="AX17" s="27">
        <v>72331.690864387492</v>
      </c>
      <c r="AY17" s="27">
        <v>70224.94258678396</v>
      </c>
      <c r="AZ17" s="27">
        <v>68179.555909498988</v>
      </c>
      <c r="BA17" s="27">
        <v>66193.743601455339</v>
      </c>
      <c r="BB17" s="27">
        <v>64265.770486849833</v>
      </c>
      <c r="BC17" s="27">
        <v>62393.951928980416</v>
      </c>
      <c r="BD17" s="27">
        <v>60576.652358233419</v>
      </c>
      <c r="BE17" s="27">
        <v>58812.283842945064</v>
      </c>
      <c r="BF17" s="27">
        <v>57099.30470188841</v>
      </c>
      <c r="BG17" s="27">
        <v>55436.218157173222</v>
      </c>
      <c r="BH17" s="27">
        <v>53821.571026381767</v>
      </c>
      <c r="BI17" s="27">
        <v>52253.952452797828</v>
      </c>
      <c r="BJ17" s="27">
        <v>50731.99267261925</v>
      </c>
      <c r="BK17" s="27">
        <v>49254.361818076941</v>
      </c>
      <c r="BL17" s="27">
        <v>47819.768755414509</v>
      </c>
      <c r="BM17" s="27">
        <v>46426.959956713108</v>
      </c>
      <c r="BN17" s="27">
        <v>45074.718404575826</v>
      </c>
      <c r="BO17" s="27">
        <v>43761.862528714402</v>
      </c>
    </row>
    <row r="18" spans="1:68" x14ac:dyDescent="0.25">
      <c r="A18" s="18" t="str">
        <v>Serving - Call session control function software</v>
      </c>
      <c r="B18" s="18"/>
      <c r="C18" s="18"/>
      <c r="D18" s="27">
        <v>404975.50444079004</v>
      </c>
      <c r="E18" s="27">
        <v>393180.1013988253</v>
      </c>
      <c r="F18" s="27">
        <v>381728.25378526724</v>
      </c>
      <c r="G18" s="27">
        <v>370609.95513132744</v>
      </c>
      <c r="H18" s="27">
        <v>359815.49041876441</v>
      </c>
      <c r="I18" s="27">
        <v>349335.42759103345</v>
      </c>
      <c r="J18" s="27">
        <v>339160.60931168299</v>
      </c>
      <c r="K18" s="27">
        <v>329282.14496279898</v>
      </c>
      <c r="L18" s="27">
        <v>319691.40287650382</v>
      </c>
      <c r="M18" s="27">
        <v>310380.0027927222</v>
      </c>
      <c r="N18" s="27">
        <v>301339.80853662349</v>
      </c>
      <c r="O18" s="27">
        <v>292562.92090934317</v>
      </c>
      <c r="P18" s="27">
        <v>284041.67078577011</v>
      </c>
      <c r="Q18" s="27">
        <v>413652.9186200535</v>
      </c>
      <c r="R18" s="27">
        <v>401604.77535927529</v>
      </c>
      <c r="S18" s="27">
        <v>389907.54889250023</v>
      </c>
      <c r="T18" s="27">
        <v>378551.01834223326</v>
      </c>
      <c r="U18" s="27">
        <v>367525.26052643999</v>
      </c>
      <c r="V18" s="27">
        <v>356820.64128780586</v>
      </c>
      <c r="W18" s="27">
        <v>346427.80707553966</v>
      </c>
      <c r="X18" s="82"/>
      <c r="Y18" s="82"/>
      <c r="Z18" s="27">
        <v>202487.75222039502</v>
      </c>
      <c r="AA18" s="27">
        <v>196590.05069941265</v>
      </c>
      <c r="AB18" s="27">
        <v>190864.12689263362</v>
      </c>
      <c r="AC18" s="27">
        <v>185304.97756566372</v>
      </c>
      <c r="AD18" s="27">
        <v>179907.74520938221</v>
      </c>
      <c r="AE18" s="27">
        <v>174667.71379551673</v>
      </c>
      <c r="AF18" s="27">
        <v>169580.30465584149</v>
      </c>
      <c r="AG18" s="27">
        <v>164641.07248139949</v>
      </c>
      <c r="AH18" s="27">
        <v>159845.70143825191</v>
      </c>
      <c r="AI18" s="27">
        <v>155190.0013963611</v>
      </c>
      <c r="AJ18" s="27">
        <v>150669.90426831174</v>
      </c>
      <c r="AK18" s="27">
        <v>146281.46045467159</v>
      </c>
      <c r="AL18" s="27">
        <v>142020.83539288506</v>
      </c>
      <c r="AM18" s="27">
        <v>137884.3062066845</v>
      </c>
      <c r="AN18" s="27">
        <v>133868.25845309175</v>
      </c>
      <c r="AO18" s="27">
        <v>129969.18296416674</v>
      </c>
      <c r="AP18" s="27">
        <v>126183.67278074441</v>
      </c>
      <c r="AQ18" s="27">
        <v>122508.42017548</v>
      </c>
      <c r="AR18" s="27">
        <v>118940.21376260195</v>
      </c>
      <c r="AS18" s="27">
        <v>115475.93569184655</v>
      </c>
      <c r="AV18" s="27">
        <v>202487.75222039502</v>
      </c>
      <c r="AW18" s="27">
        <v>196590.05069941265</v>
      </c>
      <c r="AX18" s="27">
        <v>190864.12689263362</v>
      </c>
      <c r="AY18" s="27">
        <v>185304.97756566372</v>
      </c>
      <c r="AZ18" s="27">
        <v>179907.74520938221</v>
      </c>
      <c r="BA18" s="27">
        <v>174667.71379551673</v>
      </c>
      <c r="BB18" s="27">
        <v>169580.30465584149</v>
      </c>
      <c r="BC18" s="27">
        <v>164641.07248139949</v>
      </c>
      <c r="BD18" s="27">
        <v>159845.70143825191</v>
      </c>
      <c r="BE18" s="27">
        <v>155190.0013963611</v>
      </c>
      <c r="BF18" s="27">
        <v>150669.90426831174</v>
      </c>
      <c r="BG18" s="27">
        <v>146281.46045467159</v>
      </c>
      <c r="BH18" s="27">
        <v>142020.83539288506</v>
      </c>
      <c r="BI18" s="27">
        <v>275768.612413369</v>
      </c>
      <c r="BJ18" s="27">
        <v>267736.5169061835</v>
      </c>
      <c r="BK18" s="27">
        <v>259938.36592833349</v>
      </c>
      <c r="BL18" s="27">
        <v>252367.34556148882</v>
      </c>
      <c r="BM18" s="27">
        <v>245016.84035096</v>
      </c>
      <c r="BN18" s="27">
        <v>237880.42752520391</v>
      </c>
      <c r="BO18" s="27">
        <v>230951.8713836931</v>
      </c>
    </row>
    <row r="19" spans="1:68" x14ac:dyDescent="0.25">
      <c r="A19" s="18" t="str">
        <v>Media resource function - hardware</v>
      </c>
      <c r="B19" s="18"/>
      <c r="C19" s="18"/>
      <c r="D19" s="27">
        <v>4100515.6748764422</v>
      </c>
      <c r="E19" s="27">
        <v>4061999.5042781075</v>
      </c>
      <c r="F19" s="27">
        <v>4116519.8240856542</v>
      </c>
      <c r="G19" s="27">
        <v>3996621.1884326739</v>
      </c>
      <c r="H19" s="27">
        <v>3880214.7460511397</v>
      </c>
      <c r="I19" s="27">
        <v>3767198.7825739225</v>
      </c>
      <c r="J19" s="27">
        <v>3657474.5461882739</v>
      </c>
      <c r="K19" s="27">
        <v>3550946.1613478381</v>
      </c>
      <c r="L19" s="27">
        <v>3434362.0696353139</v>
      </c>
      <c r="M19" s="27">
        <v>3347107.3252406805</v>
      </c>
      <c r="N19" s="27">
        <v>3262021.8874168056</v>
      </c>
      <c r="O19" s="27">
        <v>3179053.4101592405</v>
      </c>
      <c r="P19" s="27">
        <v>3109841.8913737792</v>
      </c>
      <c r="Q19" s="27">
        <v>3030614.5886444226</v>
      </c>
      <c r="R19" s="27">
        <v>2953364.2767779543</v>
      </c>
      <c r="S19" s="27">
        <v>2888742.0472759292</v>
      </c>
      <c r="T19" s="27">
        <v>2814991.3513548253</v>
      </c>
      <c r="U19" s="27">
        <v>2743086.1876849947</v>
      </c>
      <c r="V19" s="27">
        <v>2682772.7563738166</v>
      </c>
      <c r="W19" s="27">
        <v>2614139.7066217829</v>
      </c>
      <c r="X19" s="82"/>
      <c r="Y19" s="82"/>
      <c r="Z19" s="27">
        <v>1916907.7341902067</v>
      </c>
      <c r="AA19" s="27">
        <v>1861075.4700875792</v>
      </c>
      <c r="AB19" s="27">
        <v>1806869.3884345428</v>
      </c>
      <c r="AC19" s="27">
        <v>1754242.1246937308</v>
      </c>
      <c r="AD19" s="27">
        <v>1703147.6938774087</v>
      </c>
      <c r="AE19" s="27">
        <v>1653541.4503664162</v>
      </c>
      <c r="AF19" s="27">
        <v>1605380.0488994331</v>
      </c>
      <c r="AG19" s="27">
        <v>1558621.4066984786</v>
      </c>
      <c r="AH19" s="27">
        <v>1315847.5362587408</v>
      </c>
      <c r="AI19" s="27">
        <v>1277521.8798628552</v>
      </c>
      <c r="AJ19" s="27">
        <v>1252715.629768431</v>
      </c>
      <c r="AK19" s="27">
        <v>1216228.7667654669</v>
      </c>
      <c r="AL19" s="27">
        <v>1192495.7628576146</v>
      </c>
      <c r="AM19" s="27">
        <v>1157762.8765607905</v>
      </c>
      <c r="AN19" s="27">
        <v>1135061.6436870496</v>
      </c>
      <c r="AO19" s="27">
        <v>1102001.5958126693</v>
      </c>
      <c r="AP19" s="27">
        <v>1080291.8839147671</v>
      </c>
      <c r="AQ19" s="27">
        <v>1048827.0717619099</v>
      </c>
      <c r="AR19" s="27">
        <v>1028069.8518950758</v>
      </c>
      <c r="AS19" s="27">
        <v>998126.06980104442</v>
      </c>
      <c r="AV19" s="27">
        <v>2183607.9406862352</v>
      </c>
      <c r="AW19" s="27">
        <v>2200924.0341905286</v>
      </c>
      <c r="AX19" s="27">
        <v>2309650.4356511114</v>
      </c>
      <c r="AY19" s="27">
        <v>2242379.0637389431</v>
      </c>
      <c r="AZ19" s="27">
        <v>2177067.0521737309</v>
      </c>
      <c r="BA19" s="27">
        <v>2113657.3322075061</v>
      </c>
      <c r="BB19" s="27">
        <v>2052094.4972888406</v>
      </c>
      <c r="BC19" s="27">
        <v>1992324.7546493595</v>
      </c>
      <c r="BD19" s="27">
        <v>2118514.5333765727</v>
      </c>
      <c r="BE19" s="27">
        <v>2069585.4453778253</v>
      </c>
      <c r="BF19" s="27">
        <v>2009306.2576483744</v>
      </c>
      <c r="BG19" s="27">
        <v>1962824.6433937734</v>
      </c>
      <c r="BH19" s="27">
        <v>1917346.1285161646</v>
      </c>
      <c r="BI19" s="27">
        <v>1872851.7120836319</v>
      </c>
      <c r="BJ19" s="27">
        <v>1818302.6330909047</v>
      </c>
      <c r="BK19" s="27">
        <v>1786740.45146326</v>
      </c>
      <c r="BL19" s="27">
        <v>1734699.4674400585</v>
      </c>
      <c r="BM19" s="27">
        <v>1694259.115923085</v>
      </c>
      <c r="BN19" s="27">
        <v>1654702.9044787411</v>
      </c>
      <c r="BO19" s="27">
        <v>1616013.6368207387</v>
      </c>
    </row>
    <row r="20" spans="1:68" x14ac:dyDescent="0.25">
      <c r="A20" s="18" t="str">
        <v>Media resource function - software</v>
      </c>
      <c r="B20" s="18"/>
      <c r="C20" s="18"/>
      <c r="D20" s="27">
        <v>1545711.9402752488</v>
      </c>
      <c r="E20" s="27">
        <v>1521977.6042096028</v>
      </c>
      <c r="F20" s="27">
        <v>1549980.5868113271</v>
      </c>
      <c r="G20" s="27">
        <v>1504835.5211760458</v>
      </c>
      <c r="H20" s="27">
        <v>1461005.3603650928</v>
      </c>
      <c r="I20" s="27">
        <v>1418451.8061797018</v>
      </c>
      <c r="J20" s="27">
        <v>1377137.6759026232</v>
      </c>
      <c r="K20" s="27">
        <v>1337026.8698083721</v>
      </c>
      <c r="L20" s="27">
        <v>1289430.4440223132</v>
      </c>
      <c r="M20" s="27">
        <v>1256075.1376903357</v>
      </c>
      <c r="N20" s="27">
        <v>1227647.5515303148</v>
      </c>
      <c r="O20" s="27">
        <v>1195850.5969169277</v>
      </c>
      <c r="P20" s="27">
        <v>1168708.8711590883</v>
      </c>
      <c r="Q20" s="27">
        <v>1138401.2701313298</v>
      </c>
      <c r="R20" s="27">
        <v>1112491.4529056763</v>
      </c>
      <c r="S20" s="27">
        <v>1083606.9937539874</v>
      </c>
      <c r="T20" s="27">
        <v>1058877.0901012986</v>
      </c>
      <c r="U20" s="27">
        <v>1031352.2550000122</v>
      </c>
      <c r="V20" s="27">
        <v>1007752.1799862762</v>
      </c>
      <c r="W20" s="27">
        <v>981526.05389649409</v>
      </c>
      <c r="X20" s="82"/>
      <c r="Y20" s="82"/>
      <c r="Z20" s="27">
        <v>718043.48998601979</v>
      </c>
      <c r="AA20" s="27">
        <v>697129.60192817473</v>
      </c>
      <c r="AB20" s="27">
        <v>676824.85624094622</v>
      </c>
      <c r="AC20" s="27">
        <v>657111.51091354003</v>
      </c>
      <c r="AD20" s="27">
        <v>637972.34069275716</v>
      </c>
      <c r="AE20" s="27">
        <v>619390.62203180313</v>
      </c>
      <c r="AF20" s="27">
        <v>601350.11847747874</v>
      </c>
      <c r="AG20" s="27">
        <v>583835.06648298912</v>
      </c>
      <c r="AH20" s="27">
        <v>493272.04905551579</v>
      </c>
      <c r="AI20" s="27">
        <v>483105.82218859071</v>
      </c>
      <c r="AJ20" s="27">
        <v>469034.77882387448</v>
      </c>
      <c r="AK20" s="27">
        <v>459333.3418621312</v>
      </c>
      <c r="AL20" s="27">
        <v>445954.70083702059</v>
      </c>
      <c r="AM20" s="27">
        <v>436698.19214873965</v>
      </c>
      <c r="AN20" s="27">
        <v>427602.57798980398</v>
      </c>
      <c r="AO20" s="27">
        <v>415148.13397068344</v>
      </c>
      <c r="AP20" s="27">
        <v>406472.17329695018</v>
      </c>
      <c r="AQ20" s="27">
        <v>394633.177958204</v>
      </c>
      <c r="AR20" s="27">
        <v>386358.66325352446</v>
      </c>
      <c r="AS20" s="27">
        <v>375105.49830439268</v>
      </c>
      <c r="AV20" s="27">
        <v>827668.45028922893</v>
      </c>
      <c r="AW20" s="27">
        <v>824848.00228142808</v>
      </c>
      <c r="AX20" s="27">
        <v>873155.73057038093</v>
      </c>
      <c r="AY20" s="27">
        <v>847724.01026250573</v>
      </c>
      <c r="AZ20" s="27">
        <v>823033.01967233559</v>
      </c>
      <c r="BA20" s="27">
        <v>799061.18414789869</v>
      </c>
      <c r="BB20" s="27">
        <v>775787.55742514436</v>
      </c>
      <c r="BC20" s="27">
        <v>753191.80332538288</v>
      </c>
      <c r="BD20" s="27">
        <v>796158.39496679744</v>
      </c>
      <c r="BE20" s="27">
        <v>772969.31550174509</v>
      </c>
      <c r="BF20" s="27">
        <v>758612.77270644042</v>
      </c>
      <c r="BG20" s="27">
        <v>736517.25505479658</v>
      </c>
      <c r="BH20" s="27">
        <v>722754.1703220678</v>
      </c>
      <c r="BI20" s="27">
        <v>701703.07798259018</v>
      </c>
      <c r="BJ20" s="27">
        <v>684888.87491587247</v>
      </c>
      <c r="BK20" s="27">
        <v>668458.85978330381</v>
      </c>
      <c r="BL20" s="27">
        <v>652404.91680434858</v>
      </c>
      <c r="BM20" s="27">
        <v>636719.07704180817</v>
      </c>
      <c r="BN20" s="27">
        <v>621393.51673275174</v>
      </c>
      <c r="BO20" s="27">
        <v>606420.55559210142</v>
      </c>
    </row>
    <row r="21" spans="1:68" x14ac:dyDescent="0.25">
      <c r="A21" s="18" t="str">
        <v>Access session border controller - hardware</v>
      </c>
      <c r="B21" s="18"/>
      <c r="C21" s="18"/>
      <c r="D21" s="27">
        <v>1518278.5016110034</v>
      </c>
      <c r="E21" s="27">
        <v>1533019.0695878095</v>
      </c>
      <c r="F21" s="27">
        <v>1545612.9529077988</v>
      </c>
      <c r="G21" s="27">
        <v>1500595.0999104839</v>
      </c>
      <c r="H21" s="27">
        <v>1456888.446515033</v>
      </c>
      <c r="I21" s="27">
        <v>1414454.8024417798</v>
      </c>
      <c r="J21" s="27">
        <v>1373257.0897493004</v>
      </c>
      <c r="K21" s="27">
        <v>1333259.3104362143</v>
      </c>
      <c r="L21" s="27">
        <v>1294426.5149866154</v>
      </c>
      <c r="M21" s="27">
        <v>1256724.7718316657</v>
      </c>
      <c r="N21" s="27">
        <v>1220121.1377006464</v>
      </c>
      <c r="O21" s="27">
        <v>1184583.6288355789</v>
      </c>
      <c r="P21" s="27">
        <v>1150081.1930442513</v>
      </c>
      <c r="Q21" s="27">
        <v>1116583.6825672344</v>
      </c>
      <c r="R21" s="27">
        <v>1084061.8277351789</v>
      </c>
      <c r="S21" s="27">
        <v>1052487.2113933775</v>
      </c>
      <c r="T21" s="27">
        <v>1059677.8827405456</v>
      </c>
      <c r="U21" s="27">
        <v>1028813.4783888792</v>
      </c>
      <c r="V21" s="27">
        <v>998848.03727075655</v>
      </c>
      <c r="W21" s="27">
        <v>969755.37599102571</v>
      </c>
      <c r="X21" s="82"/>
      <c r="Y21" s="82"/>
      <c r="Z21" s="27">
        <v>728773.68077328161</v>
      </c>
      <c r="AA21" s="27">
        <v>707547.26288668124</v>
      </c>
      <c r="AB21" s="27">
        <v>686939.09018124384</v>
      </c>
      <c r="AC21" s="27">
        <v>666931.15551577066</v>
      </c>
      <c r="AD21" s="27">
        <v>647505.97622890363</v>
      </c>
      <c r="AE21" s="27">
        <v>628646.57886301319</v>
      </c>
      <c r="AF21" s="27">
        <v>610336.4843330225</v>
      </c>
      <c r="AG21" s="27">
        <v>592559.69352720631</v>
      </c>
      <c r="AH21" s="27">
        <v>479417.22777282057</v>
      </c>
      <c r="AI21" s="27">
        <v>465453.61919691321</v>
      </c>
      <c r="AJ21" s="27">
        <v>497086.38943359663</v>
      </c>
      <c r="AK21" s="27">
        <v>482608.14508116181</v>
      </c>
      <c r="AL21" s="27">
        <v>468551.59716617648</v>
      </c>
      <c r="AM21" s="27">
        <v>454904.46326813253</v>
      </c>
      <c r="AN21" s="27">
        <v>441654.81870692474</v>
      </c>
      <c r="AO21" s="27">
        <v>428791.0861232279</v>
      </c>
      <c r="AP21" s="27">
        <v>416302.02536235715</v>
      </c>
      <c r="AQ21" s="27">
        <v>404176.72365277394</v>
      </c>
      <c r="AR21" s="27">
        <v>392404.58607065433</v>
      </c>
      <c r="AS21" s="27">
        <v>380975.3262821887</v>
      </c>
      <c r="AV21" s="27">
        <v>789504.82083772181</v>
      </c>
      <c r="AW21" s="27">
        <v>825471.80670112814</v>
      </c>
      <c r="AX21" s="27">
        <v>858673.86272655486</v>
      </c>
      <c r="AY21" s="27">
        <v>833663.94439471327</v>
      </c>
      <c r="AZ21" s="27">
        <v>809382.47028612951</v>
      </c>
      <c r="BA21" s="27">
        <v>785808.22357876657</v>
      </c>
      <c r="BB21" s="27">
        <v>762920.60541627801</v>
      </c>
      <c r="BC21" s="27">
        <v>740699.61690900789</v>
      </c>
      <c r="BD21" s="27">
        <v>815009.28721379489</v>
      </c>
      <c r="BE21" s="27">
        <v>791271.15263475245</v>
      </c>
      <c r="BF21" s="27">
        <v>723034.74826704967</v>
      </c>
      <c r="BG21" s="27">
        <v>701975.48375441716</v>
      </c>
      <c r="BH21" s="27">
        <v>681529.59587807488</v>
      </c>
      <c r="BI21" s="27">
        <v>661679.21929910185</v>
      </c>
      <c r="BJ21" s="27">
        <v>642407.00902825419</v>
      </c>
      <c r="BK21" s="27">
        <v>623696.12527014967</v>
      </c>
      <c r="BL21" s="27">
        <v>643375.8573781884</v>
      </c>
      <c r="BM21" s="27">
        <v>624636.75473610521</v>
      </c>
      <c r="BN21" s="27">
        <v>606443.45120010222</v>
      </c>
      <c r="BO21" s="27">
        <v>588780.04970883706</v>
      </c>
    </row>
    <row r="22" spans="1:68" x14ac:dyDescent="0.25">
      <c r="A22" s="18" t="str">
        <v>Access session border controller - software</v>
      </c>
      <c r="B22" s="18"/>
      <c r="C22" s="18"/>
      <c r="D22" s="27">
        <v>10401842.661913071</v>
      </c>
      <c r="E22" s="27">
        <v>10304138.085642833</v>
      </c>
      <c r="F22" s="27">
        <v>10442440.639146024</v>
      </c>
      <c r="G22" s="27">
        <v>10138291.882666044</v>
      </c>
      <c r="H22" s="27">
        <v>9843001.82783111</v>
      </c>
      <c r="I22" s="27">
        <v>9556312.4542049598</v>
      </c>
      <c r="J22" s="27">
        <v>9277973.256509671</v>
      </c>
      <c r="K22" s="27">
        <v>9007741.0257375427</v>
      </c>
      <c r="L22" s="27">
        <v>8712000.3250481691</v>
      </c>
      <c r="M22" s="27">
        <v>8490659.8413964976</v>
      </c>
      <c r="N22" s="27">
        <v>8274822.271871632</v>
      </c>
      <c r="O22" s="27">
        <v>8064354.8295400748</v>
      </c>
      <c r="P22" s="27">
        <v>7888784.8803238459</v>
      </c>
      <c r="Q22" s="27">
        <v>7687807.7343107769</v>
      </c>
      <c r="R22" s="27">
        <v>7491845.6521409694</v>
      </c>
      <c r="S22" s="27">
        <v>7327917.4252936589</v>
      </c>
      <c r="T22" s="27">
        <v>7140832.8739826754</v>
      </c>
      <c r="U22" s="27">
        <v>6958429.9133854741</v>
      </c>
      <c r="V22" s="27">
        <v>6805431.8827370787</v>
      </c>
      <c r="W22" s="27">
        <v>6631329.3450240828</v>
      </c>
      <c r="X22" s="82"/>
      <c r="Y22" s="82"/>
      <c r="Z22" s="27">
        <v>4862650.0248780614</v>
      </c>
      <c r="AA22" s="27">
        <v>4721019.4416291863</v>
      </c>
      <c r="AB22" s="27">
        <v>4583514.020999209</v>
      </c>
      <c r="AC22" s="27">
        <v>4450013.6126205921</v>
      </c>
      <c r="AD22" s="27">
        <v>4320401.5656510601</v>
      </c>
      <c r="AE22" s="27">
        <v>4194564.6268456886</v>
      </c>
      <c r="AF22" s="27">
        <v>4072392.8415977564</v>
      </c>
      <c r="AG22" s="27">
        <v>3953779.4578618985</v>
      </c>
      <c r="AH22" s="27">
        <v>3337931.1590222865</v>
      </c>
      <c r="AI22" s="27">
        <v>3240709.8631284339</v>
      </c>
      <c r="AJ22" s="27">
        <v>3177783.4580191439</v>
      </c>
      <c r="AK22" s="27">
        <v>3085226.6582710138</v>
      </c>
      <c r="AL22" s="27">
        <v>3025022.7736580162</v>
      </c>
      <c r="AM22" s="27">
        <v>2936915.3142310833</v>
      </c>
      <c r="AN22" s="27">
        <v>2879328.7394422381</v>
      </c>
      <c r="AO22" s="27">
        <v>2795464.7955749882</v>
      </c>
      <c r="AP22" s="27">
        <v>2740393.4276538678</v>
      </c>
      <c r="AQ22" s="27">
        <v>2660576.1433532694</v>
      </c>
      <c r="AR22" s="27">
        <v>2607920.9769612891</v>
      </c>
      <c r="AS22" s="27">
        <v>2531962.11355465</v>
      </c>
      <c r="AV22" s="27">
        <v>5539192.6370350095</v>
      </c>
      <c r="AW22" s="27">
        <v>5583118.644013647</v>
      </c>
      <c r="AX22" s="27">
        <v>5858926.6181468153</v>
      </c>
      <c r="AY22" s="27">
        <v>5688278.2700454528</v>
      </c>
      <c r="AZ22" s="27">
        <v>5522600.2621800499</v>
      </c>
      <c r="BA22" s="27">
        <v>5361747.8273592712</v>
      </c>
      <c r="BB22" s="27">
        <v>5205580.4149119146</v>
      </c>
      <c r="BC22" s="27">
        <v>5053961.5678756442</v>
      </c>
      <c r="BD22" s="27">
        <v>5374069.1660258817</v>
      </c>
      <c r="BE22" s="27">
        <v>5249949.9782680636</v>
      </c>
      <c r="BF22" s="27">
        <v>5097038.8138524881</v>
      </c>
      <c r="BG22" s="27">
        <v>4979128.171269061</v>
      </c>
      <c r="BH22" s="27">
        <v>4863762.1066658301</v>
      </c>
      <c r="BI22" s="27">
        <v>4750892.4200796941</v>
      </c>
      <c r="BJ22" s="27">
        <v>4612516.9126987308</v>
      </c>
      <c r="BK22" s="27">
        <v>4532452.6297186706</v>
      </c>
      <c r="BL22" s="27">
        <v>4400439.4463288076</v>
      </c>
      <c r="BM22" s="27">
        <v>4297853.7700322047</v>
      </c>
      <c r="BN22" s="27">
        <v>4197510.9057757892</v>
      </c>
      <c r="BO22" s="27">
        <v>4099367.2314694333</v>
      </c>
    </row>
    <row r="23" spans="1:68" x14ac:dyDescent="0.25">
      <c r="A23" s="18" t="str">
        <v>Internet exchange point session border controller - hardware</v>
      </c>
      <c r="B23" s="18"/>
      <c r="C23" s="18"/>
      <c r="D23" s="27">
        <v>1582924.2044068249</v>
      </c>
      <c r="E23" s="27">
        <v>1536819.6159289563</v>
      </c>
      <c r="F23" s="27">
        <v>1634158.6299753117</v>
      </c>
      <c r="G23" s="27">
        <v>1586561.7766750597</v>
      </c>
      <c r="H23" s="27">
        <v>1540351.2394903491</v>
      </c>
      <c r="I23" s="27">
        <v>1495486.6402818924</v>
      </c>
      <c r="J23" s="27">
        <v>1451928.7769727111</v>
      </c>
      <c r="K23" s="27">
        <v>1409639.5892938941</v>
      </c>
      <c r="L23" s="27">
        <v>1368582.1255280527</v>
      </c>
      <c r="M23" s="27">
        <v>1328720.5102214105</v>
      </c>
      <c r="N23" s="27">
        <v>1290019.9128363207</v>
      </c>
      <c r="O23" s="27">
        <v>1252446.5173168164</v>
      </c>
      <c r="P23" s="27">
        <v>1215967.4925405984</v>
      </c>
      <c r="Q23" s="27">
        <v>1180550.9636316488</v>
      </c>
      <c r="R23" s="27">
        <v>1195999.2877652836</v>
      </c>
      <c r="S23" s="27">
        <v>1161164.3570536734</v>
      </c>
      <c r="T23" s="27">
        <v>1127344.0359744404</v>
      </c>
      <c r="U23" s="27">
        <v>1094508.7727907186</v>
      </c>
      <c r="V23" s="27">
        <v>1062629.8764958433</v>
      </c>
      <c r="W23" s="27">
        <v>1031679.4917435371</v>
      </c>
      <c r="X23" s="82"/>
      <c r="Y23" s="82"/>
      <c r="Z23" s="184">
        <v>603018.74453593325</v>
      </c>
      <c r="AA23" s="184">
        <v>585455.09178245952</v>
      </c>
      <c r="AB23" s="184">
        <v>568403.00173054321</v>
      </c>
      <c r="AC23" s="184">
        <v>551847.57449567295</v>
      </c>
      <c r="AD23" s="184">
        <v>535774.34417055617</v>
      </c>
      <c r="AE23" s="184">
        <v>520169.26618500607</v>
      </c>
      <c r="AF23" s="184">
        <v>505018.70503398648</v>
      </c>
      <c r="AG23" s="184">
        <v>490309.42236309365</v>
      </c>
      <c r="AH23" s="184">
        <v>416524.99472592905</v>
      </c>
      <c r="AI23" s="184">
        <v>404393.19876303797</v>
      </c>
      <c r="AJ23" s="184">
        <v>392614.75608061929</v>
      </c>
      <c r="AK23" s="184">
        <v>381179.37483555276</v>
      </c>
      <c r="AL23" s="184">
        <v>370077.06294713862</v>
      </c>
      <c r="AM23" s="184">
        <v>359298.11936615402</v>
      </c>
      <c r="AN23" s="184">
        <v>348833.12559820776</v>
      </c>
      <c r="AO23" s="184">
        <v>338672.9374739881</v>
      </c>
      <c r="AP23" s="184">
        <v>328808.67715921177</v>
      </c>
      <c r="AQ23" s="184">
        <v>319231.72539729293</v>
      </c>
      <c r="AR23" s="184">
        <v>309933.71397795429</v>
      </c>
      <c r="AS23" s="184">
        <v>300906.51842519833</v>
      </c>
      <c r="AV23" s="27">
        <v>979905.45987089153</v>
      </c>
      <c r="AW23" s="27">
        <v>951364.52414649678</v>
      </c>
      <c r="AX23" s="27">
        <v>1065755.6282447686</v>
      </c>
      <c r="AY23" s="27">
        <v>1034714.2021793867</v>
      </c>
      <c r="AZ23" s="27">
        <v>1004576.8953197928</v>
      </c>
      <c r="BA23" s="27">
        <v>975317.37409688637</v>
      </c>
      <c r="BB23" s="27">
        <v>946910.07193872461</v>
      </c>
      <c r="BC23" s="27">
        <v>919330.16693080054</v>
      </c>
      <c r="BD23" s="27">
        <v>952057.13080212357</v>
      </c>
      <c r="BE23" s="27">
        <v>924327.31145837251</v>
      </c>
      <c r="BF23" s="27">
        <v>897405.15675570129</v>
      </c>
      <c r="BG23" s="27">
        <v>871267.14248126349</v>
      </c>
      <c r="BH23" s="27">
        <v>845890.4295934597</v>
      </c>
      <c r="BI23" s="27">
        <v>821252.84426549484</v>
      </c>
      <c r="BJ23" s="27">
        <v>847166.16216707591</v>
      </c>
      <c r="BK23" s="27">
        <v>822491.41957968532</v>
      </c>
      <c r="BL23" s="27">
        <v>798535.35881522857</v>
      </c>
      <c r="BM23" s="27">
        <v>775277.04739342572</v>
      </c>
      <c r="BN23" s="27">
        <v>752696.16251788894</v>
      </c>
      <c r="BO23" s="27">
        <v>730772.97331833886</v>
      </c>
    </row>
    <row r="24" spans="1:68" x14ac:dyDescent="0.25">
      <c r="A24" s="18" t="str">
        <v>Internet exchange point session border controller - software</v>
      </c>
      <c r="B24" s="18"/>
      <c r="C24" s="18"/>
      <c r="D24" s="27">
        <v>6617610.5540166358</v>
      </c>
      <c r="E24" s="27">
        <v>6424864.6155501325</v>
      </c>
      <c r="F24" s="27">
        <v>6683284.9676318988</v>
      </c>
      <c r="G24" s="27">
        <v>6488626.1821668921</v>
      </c>
      <c r="H24" s="27">
        <v>6299637.0700649424</v>
      </c>
      <c r="I24" s="27">
        <v>6116152.4952086816</v>
      </c>
      <c r="J24" s="27">
        <v>5938012.1312705651</v>
      </c>
      <c r="K24" s="27">
        <v>5765060.3216219079</v>
      </c>
      <c r="L24" s="27">
        <v>5597145.9433222404</v>
      </c>
      <c r="M24" s="27">
        <v>5434122.2750701364</v>
      </c>
      <c r="N24" s="27">
        <v>5393087.9105334692</v>
      </c>
      <c r="O24" s="27">
        <v>5236007.6801295802</v>
      </c>
      <c r="P24" s="27">
        <v>5083502.6020675553</v>
      </c>
      <c r="Q24" s="27">
        <v>4935439.4194830628</v>
      </c>
      <c r="R24" s="27">
        <v>4895855.9036661871</v>
      </c>
      <c r="S24" s="27">
        <v>4753258.1588992104</v>
      </c>
      <c r="T24" s="27">
        <v>4614813.7465040879</v>
      </c>
      <c r="U24" s="27">
        <v>4480401.6956350366</v>
      </c>
      <c r="V24" s="27">
        <v>4349904.558868967</v>
      </c>
      <c r="W24" s="27">
        <v>4313063.8055300647</v>
      </c>
      <c r="X24" s="82"/>
      <c r="Y24" s="82"/>
      <c r="Z24" s="27">
        <v>2363432.340720227</v>
      </c>
      <c r="AA24" s="27">
        <v>2294594.5055536185</v>
      </c>
      <c r="AB24" s="27">
        <v>2227761.6558772996</v>
      </c>
      <c r="AC24" s="27">
        <v>2162875.3940556305</v>
      </c>
      <c r="AD24" s="27">
        <v>2099879.0233549806</v>
      </c>
      <c r="AE24" s="27">
        <v>2038717.4984028938</v>
      </c>
      <c r="AF24" s="27">
        <v>1979337.3770901884</v>
      </c>
      <c r="AG24" s="27">
        <v>1921686.7738739692</v>
      </c>
      <c r="AH24" s="27">
        <v>1616953.2725153139</v>
      </c>
      <c r="AI24" s="27">
        <v>1569857.5461313729</v>
      </c>
      <c r="AJ24" s="27">
        <v>1524133.5399333716</v>
      </c>
      <c r="AK24" s="27">
        <v>1479741.3009061858</v>
      </c>
      <c r="AL24" s="27">
        <v>1436642.0397147438</v>
      </c>
      <c r="AM24" s="27">
        <v>1394798.0968104308</v>
      </c>
      <c r="AN24" s="27">
        <v>1354172.9095246899</v>
      </c>
      <c r="AO24" s="27">
        <v>1314730.9801210582</v>
      </c>
      <c r="AP24" s="27">
        <v>1374625.3712990901</v>
      </c>
      <c r="AQ24" s="27">
        <v>1334587.73912533</v>
      </c>
      <c r="AR24" s="27">
        <v>1295716.2515779901</v>
      </c>
      <c r="AS24" s="27">
        <v>1257976.9432796021</v>
      </c>
      <c r="AV24" s="27">
        <v>4254178.2132964088</v>
      </c>
      <c r="AW24" s="27">
        <v>4130270.1099965135</v>
      </c>
      <c r="AX24" s="27">
        <v>4455523.3117545992</v>
      </c>
      <c r="AY24" s="27">
        <v>4325750.7881112611</v>
      </c>
      <c r="AZ24" s="27">
        <v>4199758.0467099613</v>
      </c>
      <c r="BA24" s="27">
        <v>4077434.9968057876</v>
      </c>
      <c r="BB24" s="27">
        <v>3958674.7541803769</v>
      </c>
      <c r="BC24" s="27">
        <v>3843373.5477479384</v>
      </c>
      <c r="BD24" s="27">
        <v>3980192.6708069267</v>
      </c>
      <c r="BE24" s="27">
        <v>3864264.728938764</v>
      </c>
      <c r="BF24" s="27">
        <v>3868954.3706000969</v>
      </c>
      <c r="BG24" s="27">
        <v>3756266.3792233947</v>
      </c>
      <c r="BH24" s="27">
        <v>3646860.562352811</v>
      </c>
      <c r="BI24" s="27">
        <v>3540641.3226726316</v>
      </c>
      <c r="BJ24" s="27">
        <v>3541682.9941414967</v>
      </c>
      <c r="BK24" s="27">
        <v>3438527.178778152</v>
      </c>
      <c r="BL24" s="27">
        <v>3240188.3752049981</v>
      </c>
      <c r="BM24" s="27">
        <v>3145813.9565097066</v>
      </c>
      <c r="BN24" s="27">
        <v>3054188.3072909769</v>
      </c>
      <c r="BO24" s="27">
        <v>3055086.8622504626</v>
      </c>
    </row>
    <row r="25" spans="1:68" x14ac:dyDescent="0.25">
      <c r="C25" s="13" t="s">
        <v>351</v>
      </c>
    </row>
    <row r="26" spans="1:68" x14ac:dyDescent="0.25">
      <c r="A26" s="18" t="s">
        <v>175</v>
      </c>
      <c r="B26" s="18"/>
      <c r="C26" s="18"/>
      <c r="D26" s="17">
        <f>SUM(D9:D24)</f>
        <v>27854740.048566509</v>
      </c>
      <c r="E26" s="17">
        <f t="shared" ref="E26:W26" si="0">SUM(E9:E24)</f>
        <v>27409863.651961796</v>
      </c>
      <c r="F26" s="17">
        <f t="shared" si="0"/>
        <v>27940002.607125349</v>
      </c>
      <c r="G26" s="17">
        <f t="shared" si="0"/>
        <v>27126216.123422671</v>
      </c>
      <c r="H26" s="17">
        <f t="shared" si="0"/>
        <v>26336132.158662785</v>
      </c>
      <c r="I26" s="17">
        <f t="shared" si="0"/>
        <v>25569060.348216295</v>
      </c>
      <c r="J26" s="17">
        <f t="shared" si="0"/>
        <v>24824330.435161453</v>
      </c>
      <c r="K26" s="17">
        <f t="shared" si="0"/>
        <v>24101291.684622765</v>
      </c>
      <c r="L26" s="17">
        <f t="shared" si="0"/>
        <v>23344120.632617462</v>
      </c>
      <c r="M26" s="17">
        <f t="shared" si="0"/>
        <v>22713578.026571847</v>
      </c>
      <c r="N26" s="17">
        <f t="shared" si="0"/>
        <v>22221281.997249499</v>
      </c>
      <c r="O26" s="17">
        <f t="shared" si="0"/>
        <v>21620608.629267454</v>
      </c>
      <c r="P26" s="17">
        <f t="shared" si="0"/>
        <v>21081267.480382163</v>
      </c>
      <c r="Q26" s="17">
        <f t="shared" si="0"/>
        <v>20682064.819005534</v>
      </c>
      <c r="R26" s="17">
        <f t="shared" si="0"/>
        <v>20279897.197337911</v>
      </c>
      <c r="S26" s="17">
        <f t="shared" si="0"/>
        <v>19768417.74352096</v>
      </c>
      <c r="T26" s="17">
        <f t="shared" si="0"/>
        <v>19274053.048474502</v>
      </c>
      <c r="U26" s="17">
        <f t="shared" si="0"/>
        <v>18751656.446396403</v>
      </c>
      <c r="V26" s="17">
        <f t="shared" si="0"/>
        <v>18281187.97475341</v>
      </c>
      <c r="W26" s="17">
        <f t="shared" si="0"/>
        <v>17875327.451642588</v>
      </c>
      <c r="X26" s="16" t="s">
        <v>394</v>
      </c>
      <c r="Z26" s="17">
        <f t="shared" ref="Z26:AS26" si="1">SUM(Z9:Z24)</f>
        <v>12360611.618937375</v>
      </c>
      <c r="AA26" s="17">
        <f>SUM(AA9:AA24)</f>
        <v>12000593.804793566</v>
      </c>
      <c r="AB26" s="17">
        <f t="shared" si="1"/>
        <v>11651061.94640152</v>
      </c>
      <c r="AC26" s="17">
        <f t="shared" si="1"/>
        <v>11311710.627574291</v>
      </c>
      <c r="AD26" s="17">
        <f t="shared" si="1"/>
        <v>10982243.327742029</v>
      </c>
      <c r="AE26" s="17">
        <f t="shared" si="1"/>
        <v>10662372.162856339</v>
      </c>
      <c r="AF26" s="17">
        <f t="shared" si="1"/>
        <v>10351817.633841107</v>
      </c>
      <c r="AG26" s="17">
        <f t="shared" si="1"/>
        <v>10050308.382370004</v>
      </c>
      <c r="AH26" s="17">
        <f t="shared" si="1"/>
        <v>8581806.9787315484</v>
      </c>
      <c r="AI26" s="17">
        <f t="shared" si="1"/>
        <v>8336052.3558546416</v>
      </c>
      <c r="AJ26" s="17">
        <f t="shared" si="1"/>
        <v>8182310.7137905303</v>
      </c>
      <c r="AK26" s="17">
        <f t="shared" si="1"/>
        <v>7947950.7544511175</v>
      </c>
      <c r="AL26" s="17">
        <f t="shared" si="1"/>
        <v>7757805.2641026564</v>
      </c>
      <c r="AM26" s="17">
        <f t="shared" si="1"/>
        <v>7535582.2341542114</v>
      </c>
      <c r="AN26" s="17">
        <f t="shared" si="1"/>
        <v>7358697.6710352059</v>
      </c>
      <c r="AO26" s="17">
        <f t="shared" si="1"/>
        <v>7144366.6709079668</v>
      </c>
      <c r="AP26" s="17">
        <f t="shared" si="1"/>
        <v>7074618.9391050311</v>
      </c>
      <c r="AQ26" s="17">
        <f t="shared" si="1"/>
        <v>6868562.0768010002</v>
      </c>
      <c r="AR26" s="17">
        <f t="shared" si="1"/>
        <v>6706355.010292043</v>
      </c>
      <c r="AS26" s="17">
        <f t="shared" si="1"/>
        <v>6511024.2818369344</v>
      </c>
      <c r="AT26" s="16" t="s">
        <v>395</v>
      </c>
      <c r="AV26" s="17">
        <f>SUM(AV9:AV24)</f>
        <v>15494128.42962914</v>
      </c>
      <c r="AW26" s="17">
        <f t="shared" ref="AW26:BO26" si="2">SUM(AW9:AW24)</f>
        <v>15409269.84716823</v>
      </c>
      <c r="AX26" s="17">
        <f t="shared" si="2"/>
        <v>16288940.660723832</v>
      </c>
      <c r="AY26" s="17">
        <f t="shared" si="2"/>
        <v>15814505.49584838</v>
      </c>
      <c r="AZ26" s="17">
        <f t="shared" si="2"/>
        <v>15353888.830920756</v>
      </c>
      <c r="BA26" s="17">
        <f t="shared" si="2"/>
        <v>14906688.185359957</v>
      </c>
      <c r="BB26" s="17">
        <f t="shared" si="2"/>
        <v>14472512.801320348</v>
      </c>
      <c r="BC26" s="17">
        <f t="shared" si="2"/>
        <v>14050983.302252762</v>
      </c>
      <c r="BD26" s="17">
        <f t="shared" si="2"/>
        <v>14762313.653885912</v>
      </c>
      <c r="BE26" s="17">
        <f t="shared" si="2"/>
        <v>14377525.670717204</v>
      </c>
      <c r="BF26" s="17">
        <f t="shared" si="2"/>
        <v>14038971.28345897</v>
      </c>
      <c r="BG26" s="17">
        <f t="shared" si="2"/>
        <v>13672657.874816336</v>
      </c>
      <c r="BH26" s="17">
        <f t="shared" si="2"/>
        <v>13323462.216279503</v>
      </c>
      <c r="BI26" s="17">
        <f t="shared" si="2"/>
        <v>13146482.584851323</v>
      </c>
      <c r="BJ26" s="17">
        <f t="shared" si="2"/>
        <v>12921199.526302703</v>
      </c>
      <c r="BK26" s="17">
        <f t="shared" si="2"/>
        <v>12624051.072612997</v>
      </c>
      <c r="BL26" s="17">
        <f t="shared" si="2"/>
        <v>12199434.109369468</v>
      </c>
      <c r="BM26" s="17">
        <f t="shared" si="2"/>
        <v>11883094.369595401</v>
      </c>
      <c r="BN26" s="17">
        <f t="shared" si="2"/>
        <v>11574832.964461364</v>
      </c>
      <c r="BO26" s="17">
        <f t="shared" si="2"/>
        <v>11364303.169805653</v>
      </c>
      <c r="BP26" s="16" t="s">
        <v>396</v>
      </c>
    </row>
    <row r="27" spans="1:68" x14ac:dyDescent="0.25">
      <c r="A27" s="18" t="s">
        <v>405</v>
      </c>
      <c r="B27" s="18"/>
      <c r="C27" s="17">
        <f>SUM(_xlfn.ANCHORARRAY(D27))</f>
        <v>124197651.43393742</v>
      </c>
      <c r="D27" s="17" cm="1">
        <f t="array" ref="D27:W27">core_costs_opex/wacc_index</f>
        <v>23100408.815798286</v>
      </c>
      <c r="E27" s="17">
        <v>18956290.412513983</v>
      </c>
      <c r="F27" s="17">
        <v>16038703.695986914</v>
      </c>
      <c r="G27" s="17">
        <v>13251334.05731287</v>
      </c>
      <c r="H27" s="17">
        <v>10763964.187090427</v>
      </c>
      <c r="I27" s="17">
        <v>8623590.8847239725</v>
      </c>
      <c r="J27" s="17">
        <v>6908822.6655644532</v>
      </c>
      <c r="K27" s="17">
        <v>5535029.5790087124</v>
      </c>
      <c r="L27" s="17">
        <v>4423950.6272451049</v>
      </c>
      <c r="M27" s="17">
        <v>3551987.5198303</v>
      </c>
      <c r="N27" s="17">
        <v>2867530.9504887727</v>
      </c>
      <c r="O27" s="17">
        <v>2302290.0896446938</v>
      </c>
      <c r="P27" s="17">
        <v>1852430.7120211555</v>
      </c>
      <c r="Q27" s="17">
        <v>1499658.1576818356</v>
      </c>
      <c r="R27" s="17">
        <v>1213437.0575706915</v>
      </c>
      <c r="S27" s="17">
        <v>976060.05561757623</v>
      </c>
      <c r="T27" s="17">
        <v>785291.33495967148</v>
      </c>
      <c r="U27" s="17">
        <v>630449.81028621958</v>
      </c>
      <c r="V27" s="17">
        <v>507187.35856132716</v>
      </c>
      <c r="W27" s="17">
        <v>409233.46203043696</v>
      </c>
      <c r="X27" s="16" t="s">
        <v>407</v>
      </c>
      <c r="Y27" s="17">
        <f>SUM(_xlfn.ANCHORARRAY(Z27))</f>
        <v>51745744.218507089</v>
      </c>
      <c r="Z27" s="17" cm="1">
        <f t="array" ref="Z27:AS27">core_costs_opex_noincoming/wacc_index</f>
        <v>10250865.063285852</v>
      </c>
      <c r="AA27" s="17">
        <v>8299448.1174663249</v>
      </c>
      <c r="AB27" s="17">
        <v>6688185.8577302666</v>
      </c>
      <c r="AC27" s="17">
        <v>5525844.6516693896</v>
      </c>
      <c r="AD27" s="17">
        <v>4488604.2172614243</v>
      </c>
      <c r="AE27" s="17">
        <v>3596062.3558681877</v>
      </c>
      <c r="AF27" s="17">
        <v>2880999.0458864952</v>
      </c>
      <c r="AG27" s="17">
        <v>2308123.35299314</v>
      </c>
      <c r="AH27" s="17">
        <v>1626340.5661727411</v>
      </c>
      <c r="AI27" s="17">
        <v>1303605.8827018994</v>
      </c>
      <c r="AJ27" s="17">
        <v>1055880.9892793056</v>
      </c>
      <c r="AK27" s="17">
        <v>846344.73380118073</v>
      </c>
      <c r="AL27" s="17">
        <v>681685.61223732622</v>
      </c>
      <c r="AM27" s="17">
        <v>546405.6644840868</v>
      </c>
      <c r="AN27" s="17">
        <v>440303.83204631769</v>
      </c>
      <c r="AO27" s="17">
        <v>352751.09119161934</v>
      </c>
      <c r="AP27" s="17">
        <v>288244.35301948496</v>
      </c>
      <c r="AQ27" s="17">
        <v>230928.06070956387</v>
      </c>
      <c r="AR27" s="17">
        <v>186058.94146167618</v>
      </c>
      <c r="AS27" s="17">
        <v>149061.82924081321</v>
      </c>
      <c r="AU27" s="17">
        <f>SUM(_xlfn.ANCHORARRAY(AV27))</f>
        <v>72451907.215430319</v>
      </c>
      <c r="AV27" s="17" cm="1">
        <f t="array" ref="AV27:BO27">core_costs_opex_incoming_only/wacc_index</f>
        <v>12849543.75251244</v>
      </c>
      <c r="AW27" s="17">
        <v>10656842.295047658</v>
      </c>
      <c r="AX27" s="17">
        <v>9350517.8382566478</v>
      </c>
      <c r="AY27" s="17">
        <v>7725489.4056434799</v>
      </c>
      <c r="AZ27" s="17">
        <v>6275359.9698290033</v>
      </c>
      <c r="BA27" s="17">
        <v>5027528.5288557857</v>
      </c>
      <c r="BB27" s="17">
        <v>4027823.6196779585</v>
      </c>
      <c r="BC27" s="17">
        <v>3226906.2260155729</v>
      </c>
      <c r="BD27" s="17">
        <v>2797610.0610723635</v>
      </c>
      <c r="BE27" s="17">
        <v>2248381.6371284006</v>
      </c>
      <c r="BF27" s="17">
        <v>1811649.9612094671</v>
      </c>
      <c r="BG27" s="17">
        <v>1455945.3558435128</v>
      </c>
      <c r="BH27" s="17">
        <v>1170745.0997838287</v>
      </c>
      <c r="BI27" s="17">
        <v>953252.49319774867</v>
      </c>
      <c r="BJ27" s="17">
        <v>773133.22552437359</v>
      </c>
      <c r="BK27" s="17">
        <v>623308.96442595706</v>
      </c>
      <c r="BL27" s="17">
        <v>497046.98194018641</v>
      </c>
      <c r="BM27" s="17">
        <v>399521.74957665568</v>
      </c>
      <c r="BN27" s="17">
        <v>321128.41709965089</v>
      </c>
      <c r="BO27" s="17">
        <v>260171.63278962375</v>
      </c>
    </row>
    <row r="28" spans="1:68" x14ac:dyDescent="0.25">
      <c r="C28" s="16" t="s">
        <v>409</v>
      </c>
      <c r="D28" s="24"/>
      <c r="E28" s="24"/>
      <c r="F28" s="24"/>
      <c r="G28" s="24"/>
      <c r="H28" s="24"/>
      <c r="I28" s="24"/>
      <c r="J28" s="24"/>
      <c r="K28" s="24"/>
      <c r="L28" s="24"/>
      <c r="M28" s="24"/>
      <c r="N28" s="24"/>
      <c r="O28" s="24"/>
      <c r="P28" s="24"/>
      <c r="Q28" s="24"/>
      <c r="R28" s="24"/>
      <c r="S28" s="24"/>
      <c r="T28" s="24"/>
      <c r="U28" s="24"/>
      <c r="V28" s="24"/>
      <c r="W28" s="24"/>
      <c r="Z28" s="24"/>
      <c r="AA28" s="24"/>
      <c r="AB28" s="24"/>
      <c r="AC28" s="24"/>
      <c r="AD28" s="24"/>
      <c r="AE28" s="24"/>
      <c r="AF28" s="24"/>
      <c r="AG28" s="24"/>
      <c r="AH28" s="24"/>
      <c r="AI28" s="24"/>
      <c r="AJ28" s="24"/>
      <c r="AK28" s="24"/>
      <c r="AL28" s="24"/>
      <c r="AM28" s="24"/>
      <c r="AN28" s="24"/>
      <c r="AO28" s="24"/>
      <c r="AP28" s="24"/>
      <c r="AQ28" s="24"/>
      <c r="AR28" s="24"/>
      <c r="AS28" s="24"/>
      <c r="AU28" s="16" t="s">
        <v>421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F8F06-2CBE-4DAB-92A0-4616325DCAD2}">
  <dimension ref="A1:Y44"/>
  <sheetViews>
    <sheetView zoomScale="90" zoomScaleNormal="90" workbookViewId="0">
      <pane xSplit="1" topLeftCell="B1" activePane="topRight" state="frozen"/>
      <selection activeCell="A20" sqref="A20"/>
      <selection pane="topRight" activeCell="A17" sqref="A17:XFD18"/>
    </sheetView>
  </sheetViews>
  <sheetFormatPr defaultColWidth="15.7109375" defaultRowHeight="15" x14ac:dyDescent="0.25"/>
  <cols>
    <col min="1" max="1" width="45.7109375" style="13" customWidth="1"/>
    <col min="2" max="2" width="25.7109375" style="13" customWidth="1"/>
    <col min="3" max="3" width="35.7109375" style="13" customWidth="1"/>
    <col min="4" max="4" width="33.7109375" style="13" customWidth="1"/>
    <col min="5" max="12" width="17.28515625" style="13" bestFit="1" customWidth="1"/>
    <col min="13" max="13" width="20.28515625" style="13" customWidth="1"/>
    <col min="14" max="15" width="17.28515625" style="13" bestFit="1" customWidth="1"/>
    <col min="16" max="24" width="18.28515625" style="13" bestFit="1" customWidth="1"/>
    <col min="25" max="16384" width="15.7109375" style="13"/>
  </cols>
  <sheetData>
    <row r="1" spans="1:25" ht="18.75" x14ac:dyDescent="0.3">
      <c r="A1" s="51" t="s">
        <v>402</v>
      </c>
      <c r="B1" s="51"/>
      <c r="C1" s="51"/>
      <c r="D1" s="51"/>
    </row>
    <row r="3" spans="1:25" s="50" customFormat="1" x14ac:dyDescent="0.25">
      <c r="A3" s="49" t="s">
        <v>333</v>
      </c>
    </row>
    <row r="5" spans="1:25" x14ac:dyDescent="0.25">
      <c r="D5" s="53" t="s">
        <v>351</v>
      </c>
      <c r="E5" s="53" cm="1">
        <f t="array" ref="E5:X5">years</f>
        <v>2018</v>
      </c>
      <c r="F5" s="53">
        <v>2019</v>
      </c>
      <c r="G5" s="53">
        <v>2020</v>
      </c>
      <c r="H5" s="53">
        <v>2021</v>
      </c>
      <c r="I5" s="53">
        <v>2022</v>
      </c>
      <c r="J5" s="53">
        <v>2023</v>
      </c>
      <c r="K5" s="53">
        <v>2024</v>
      </c>
      <c r="L5" s="53">
        <v>2025</v>
      </c>
      <c r="M5" s="53">
        <v>2026</v>
      </c>
      <c r="N5" s="53">
        <v>2027</v>
      </c>
      <c r="O5" s="53">
        <v>2028</v>
      </c>
      <c r="P5" s="53">
        <v>2029</v>
      </c>
      <c r="Q5" s="53">
        <v>2030</v>
      </c>
      <c r="R5" s="53">
        <v>2031</v>
      </c>
      <c r="S5" s="53">
        <v>2032</v>
      </c>
      <c r="T5" s="53">
        <v>2033</v>
      </c>
      <c r="U5" s="53">
        <v>2034</v>
      </c>
      <c r="V5" s="53">
        <v>2035</v>
      </c>
      <c r="W5" s="53">
        <v>2036</v>
      </c>
      <c r="X5" s="53">
        <v>2037</v>
      </c>
    </row>
    <row r="6" spans="1:25" x14ac:dyDescent="0.25">
      <c r="A6" s="18"/>
      <c r="B6" s="18"/>
      <c r="C6" s="18" t="s">
        <v>410</v>
      </c>
      <c r="D6" s="27">
        <f>core_costs_incoming_only_discounted_pv</f>
        <v>213726081.29797271</v>
      </c>
      <c r="E6" s="223"/>
      <c r="F6" s="223"/>
      <c r="G6" s="223"/>
      <c r="H6" s="223"/>
      <c r="I6" s="223"/>
      <c r="J6" s="223"/>
      <c r="K6" s="223"/>
      <c r="L6" s="223"/>
      <c r="M6" s="223"/>
      <c r="N6" s="223"/>
      <c r="O6" s="223"/>
      <c r="P6" s="223"/>
      <c r="Q6" s="223"/>
      <c r="R6" s="223"/>
      <c r="S6" s="223"/>
      <c r="T6" s="223"/>
      <c r="U6" s="223"/>
      <c r="V6" s="223"/>
      <c r="W6" s="223"/>
      <c r="X6" s="223"/>
    </row>
    <row r="7" spans="1:25" x14ac:dyDescent="0.25">
      <c r="A7" s="18"/>
      <c r="B7" s="18"/>
      <c r="C7" s="18" t="s">
        <v>429</v>
      </c>
      <c r="D7" s="226">
        <f>D6/D15</f>
        <v>8.2426146662377599E-3</v>
      </c>
      <c r="E7" s="227" cm="1">
        <f t="array" ref="E7:X7">$D$7*capex_price_index</f>
        <v>8.2426146662377599E-3</v>
      </c>
      <c r="F7" s="224">
        <v>8.0025385109104459E-3</v>
      </c>
      <c r="G7" s="224">
        <v>7.7694548649615983E-3</v>
      </c>
      <c r="H7" s="224">
        <v>7.5431600630695124E-3</v>
      </c>
      <c r="I7" s="224">
        <v>7.3234563719121477E-3</v>
      </c>
      <c r="J7" s="224">
        <v>7.1101518173904352E-3</v>
      </c>
      <c r="K7" s="224">
        <v>6.9030600168839169E-3</v>
      </c>
      <c r="L7" s="224">
        <v>6.702000016392152E-3</v>
      </c>
      <c r="M7" s="224">
        <v>6.5067961324195654E-3</v>
      </c>
      <c r="N7" s="224">
        <v>6.3172777984655971E-3</v>
      </c>
      <c r="O7" s="224">
        <v>6.1332794159860166E-3</v>
      </c>
      <c r="P7" s="224">
        <v>5.954640209695162E-3</v>
      </c>
      <c r="Q7" s="224">
        <v>5.7812040870826812E-3</v>
      </c>
      <c r="R7" s="224">
        <v>5.612819502022021E-3</v>
      </c>
      <c r="S7" s="224">
        <v>5.4493393223514763E-3</v>
      </c>
      <c r="T7" s="224">
        <v>5.2906207013121128E-3</v>
      </c>
      <c r="U7" s="224">
        <v>5.1365249527302063E-3</v>
      </c>
      <c r="V7" s="224">
        <v>4.9869174298351523E-3</v>
      </c>
      <c r="W7" s="224">
        <v>4.841667407606943E-3</v>
      </c>
      <c r="X7" s="224">
        <v>4.7006479685504305E-3</v>
      </c>
      <c r="Y7" s="16" t="s">
        <v>424</v>
      </c>
    </row>
    <row r="8" spans="1:25" x14ac:dyDescent="0.25">
      <c r="A8" s="18"/>
      <c r="B8" s="18"/>
      <c r="C8" s="18" t="s">
        <v>428</v>
      </c>
      <c r="D8" s="226">
        <f>SUM(_xlfn.ANCHORARRAY(E8))</f>
        <v>3.5134332643642449E-2</v>
      </c>
      <c r="E8" s="227" cm="1">
        <f t="array" ref="E8:X8">capex_tariff/wacc_index</f>
        <v>6.8357402786455362E-3</v>
      </c>
      <c r="F8" s="224">
        <v>5.5344472331692231E-3</v>
      </c>
      <c r="G8" s="224">
        <v>4.4599847111926952E-3</v>
      </c>
      <c r="H8" s="224">
        <v>3.6848830440897916E-3</v>
      </c>
      <c r="I8" s="224">
        <v>2.9932042274875988E-3</v>
      </c>
      <c r="J8" s="224">
        <v>2.3980169613753172E-3</v>
      </c>
      <c r="K8" s="224">
        <v>1.9211804173718155E-3</v>
      </c>
      <c r="L8" s="224">
        <v>1.5391610049230466E-3</v>
      </c>
      <c r="M8" s="224">
        <v>1.2331046983690109E-3</v>
      </c>
      <c r="N8" s="224">
        <v>9.879065232787337E-4</v>
      </c>
      <c r="O8" s="224">
        <v>7.9146507188525544E-4</v>
      </c>
      <c r="P8" s="224">
        <v>6.3408525528846175E-4</v>
      </c>
      <c r="Q8" s="224">
        <v>5.0799981610878198E-4</v>
      </c>
      <c r="R8" s="224">
        <v>4.06985986528194E-4</v>
      </c>
      <c r="S8" s="224">
        <v>3.2605837242046952E-4</v>
      </c>
      <c r="T8" s="224">
        <v>2.6122290630299302E-4</v>
      </c>
      <c r="U8" s="224">
        <v>2.0927972580745923E-4</v>
      </c>
      <c r="V8" s="224">
        <v>1.6766524901627088E-4</v>
      </c>
      <c r="W8" s="224">
        <v>1.3432565251710659E-4</v>
      </c>
      <c r="X8" s="224">
        <v>1.0761550786469455E-4</v>
      </c>
      <c r="Y8" s="16"/>
    </row>
    <row r="9" spans="1:25" x14ac:dyDescent="0.25">
      <c r="A9" s="18"/>
      <c r="B9" s="18"/>
      <c r="C9" s="18" t="s">
        <v>416</v>
      </c>
      <c r="D9" s="18"/>
      <c r="E9" s="27">
        <f>E7*E13</f>
        <v>42289847.998735018</v>
      </c>
      <c r="F9" s="27">
        <f t="shared" ref="F9:X9" si="0">F7*F13</f>
        <v>47028582.407477044</v>
      </c>
      <c r="G9" s="27">
        <f t="shared" si="0"/>
        <v>50598731.362577938</v>
      </c>
      <c r="H9" s="27">
        <f t="shared" si="0"/>
        <v>47375167.261497244</v>
      </c>
      <c r="I9" s="27">
        <f t="shared" si="0"/>
        <v>46225284.560975462</v>
      </c>
      <c r="J9" s="27">
        <f t="shared" si="0"/>
        <v>45103311.634738185</v>
      </c>
      <c r="K9" s="27">
        <f t="shared" si="0"/>
        <v>44008571.061079487</v>
      </c>
      <c r="L9" s="27">
        <f t="shared" si="0"/>
        <v>42940401.860567838</v>
      </c>
      <c r="M9" s="27">
        <f t="shared" si="0"/>
        <v>41898159.096961826</v>
      </c>
      <c r="N9" s="27">
        <f t="shared" si="0"/>
        <v>40881213.487812266</v>
      </c>
      <c r="O9" s="27">
        <f t="shared" si="0"/>
        <v>39888951.024515845</v>
      </c>
      <c r="P9" s="27">
        <f t="shared" si="0"/>
        <v>38920772.6015907</v>
      </c>
      <c r="Q9" s="27">
        <f t="shared" si="0"/>
        <v>37976093.654950134</v>
      </c>
      <c r="R9" s="27">
        <f t="shared" si="0"/>
        <v>37054343.808956198</v>
      </c>
      <c r="S9" s="27">
        <f t="shared" si="0"/>
        <v>36154966.532039784</v>
      </c>
      <c r="T9" s="27">
        <f t="shared" si="0"/>
        <v>35277418.800679587</v>
      </c>
      <c r="U9" s="27">
        <f t="shared" si="0"/>
        <v>34421170.771536872</v>
      </c>
      <c r="V9" s="27">
        <f t="shared" si="0"/>
        <v>33585705.461548112</v>
      </c>
      <c r="W9" s="27">
        <f t="shared" si="0"/>
        <v>32770518.435782369</v>
      </c>
      <c r="X9" s="27">
        <f t="shared" si="0"/>
        <v>31975117.50287503</v>
      </c>
    </row>
    <row r="10" spans="1:25" x14ac:dyDescent="0.25">
      <c r="A10" s="18"/>
      <c r="B10" s="18"/>
      <c r="C10" s="18" t="s">
        <v>440</v>
      </c>
      <c r="D10" s="17">
        <f>SUM(E10:X10)</f>
        <v>213726081.29797274</v>
      </c>
      <c r="E10" s="27" cm="1">
        <f t="array" ref="E10:X10">capex_revenues/wacc_index</f>
        <v>35071688.905566469</v>
      </c>
      <c r="F10" s="27">
        <v>32524330.552121326</v>
      </c>
      <c r="G10" s="27">
        <v>29045740.300334357</v>
      </c>
      <c r="H10" s="27">
        <v>23143079.172811698</v>
      </c>
      <c r="I10" s="27">
        <v>18892953.018111978</v>
      </c>
      <c r="J10" s="27">
        <v>15211842.038275231</v>
      </c>
      <c r="K10" s="27">
        <v>12247960.283159692</v>
      </c>
      <c r="L10" s="27">
        <v>9861562.5063949302</v>
      </c>
      <c r="M10" s="27">
        <v>7940131.4846888054</v>
      </c>
      <c r="N10" s="27">
        <v>6393072.8982616281</v>
      </c>
      <c r="O10" s="27">
        <v>5147443.863026808</v>
      </c>
      <c r="P10" s="27">
        <v>4144513.71737323</v>
      </c>
      <c r="Q10" s="27">
        <v>3336994.9067097595</v>
      </c>
      <c r="R10" s="27">
        <v>2686813.4036396723</v>
      </c>
      <c r="S10" s="27">
        <v>2163313.5404140074</v>
      </c>
      <c r="T10" s="27">
        <v>1741812.6125911681</v>
      </c>
      <c r="U10" s="27">
        <v>1402437.1043325749</v>
      </c>
      <c r="V10" s="27">
        <v>1129185.6640553474</v>
      </c>
      <c r="W10" s="27">
        <v>909174.65030627628</v>
      </c>
      <c r="X10" s="27">
        <v>732030.67579772614</v>
      </c>
    </row>
    <row r="11" spans="1:25" x14ac:dyDescent="0.25">
      <c r="D11" s="18" t="b">
        <f>ROUND(D10,0)=ROUND(D6,0)</f>
        <v>1</v>
      </c>
      <c r="E11" s="82"/>
      <c r="F11" s="82"/>
      <c r="G11" s="82"/>
      <c r="H11" s="82"/>
      <c r="I11" s="82"/>
      <c r="J11" s="82"/>
      <c r="K11" s="82"/>
      <c r="L11" s="82"/>
      <c r="M11" s="82"/>
      <c r="N11" s="82"/>
      <c r="O11" s="82"/>
      <c r="P11" s="82"/>
      <c r="Q11" s="82"/>
      <c r="R11" s="82"/>
      <c r="S11" s="82"/>
      <c r="T11" s="82"/>
      <c r="U11" s="82"/>
      <c r="V11" s="82"/>
      <c r="W11" s="82"/>
      <c r="X11" s="82"/>
    </row>
    <row r="12" spans="1:25" x14ac:dyDescent="0.25">
      <c r="E12" s="82"/>
    </row>
    <row r="13" spans="1:25" x14ac:dyDescent="0.25">
      <c r="A13" s="15" t="s">
        <v>403</v>
      </c>
      <c r="B13" s="18"/>
      <c r="C13" s="18"/>
      <c r="D13" s="27"/>
      <c r="E13" s="27" cm="1">
        <f t="array" ref="E13:X13">fixed_minutes_incoming</f>
        <v>5130635085</v>
      </c>
      <c r="F13" s="27">
        <v>5876708040</v>
      </c>
      <c r="G13" s="27">
        <v>6512520150</v>
      </c>
      <c r="H13" s="27">
        <v>6280546464</v>
      </c>
      <c r="I13" s="27">
        <v>6311949196.3199997</v>
      </c>
      <c r="J13" s="27">
        <v>6343508942.3015985</v>
      </c>
      <c r="K13" s="27">
        <v>6375226487.0131063</v>
      </c>
      <c r="L13" s="27">
        <v>6407102619.4481707</v>
      </c>
      <c r="M13" s="27">
        <v>6439138132.5454111</v>
      </c>
      <c r="N13" s="27">
        <v>6471333823.2081385</v>
      </c>
      <c r="O13" s="27">
        <v>6503690492.3241777</v>
      </c>
      <c r="P13" s="27">
        <v>6536208944.7857981</v>
      </c>
      <c r="Q13" s="27">
        <v>6568889989.5097256</v>
      </c>
      <c r="R13" s="27">
        <v>6601734439.4572735</v>
      </c>
      <c r="S13" s="27">
        <v>6634743111.6545591</v>
      </c>
      <c r="T13" s="27">
        <v>6667916827.2128315</v>
      </c>
      <c r="U13" s="27">
        <v>6701256411.3488951</v>
      </c>
      <c r="V13" s="27">
        <v>6734762693.4056377</v>
      </c>
      <c r="W13" s="27">
        <v>6768436506.8726654</v>
      </c>
      <c r="X13" s="27">
        <v>6802278689.4070282</v>
      </c>
    </row>
    <row r="14" spans="1:25" x14ac:dyDescent="0.25">
      <c r="A14" s="18"/>
      <c r="B14" s="18"/>
      <c r="C14" s="18" t="s">
        <v>413</v>
      </c>
      <c r="D14" s="27"/>
      <c r="E14" s="27" cm="1">
        <f t="array" ref="E14:X14">fixed_minutes_incoming*capex_price_index</f>
        <v>5130635085</v>
      </c>
      <c r="F14" s="27">
        <v>5705541786.4077673</v>
      </c>
      <c r="G14" s="27">
        <v>6138674851.5411444</v>
      </c>
      <c r="H14" s="27">
        <v>5747589712.7095785</v>
      </c>
      <c r="I14" s="27">
        <v>5608085108.0321608</v>
      </c>
      <c r="J14" s="27">
        <v>5471966537.4488554</v>
      </c>
      <c r="K14" s="27">
        <v>5339151815.6661158</v>
      </c>
      <c r="L14" s="27">
        <v>5209560752.1790724</v>
      </c>
      <c r="M14" s="27">
        <v>5083115102.8543377</v>
      </c>
      <c r="N14" s="27">
        <v>4959738522.6879702</v>
      </c>
      <c r="O14" s="27">
        <v>4839356519.7101059</v>
      </c>
      <c r="P14" s="27">
        <v>4721896410.0084038</v>
      </c>
      <c r="Q14" s="27">
        <v>4607287273.8431501</v>
      </c>
      <c r="R14" s="27">
        <v>4495459912.8275394</v>
      </c>
      <c r="S14" s="27">
        <v>4386346808.1472588</v>
      </c>
      <c r="T14" s="27">
        <v>4279882079.7941694</v>
      </c>
      <c r="U14" s="27">
        <v>4176001446.7894564</v>
      </c>
      <c r="V14" s="27">
        <v>4074642188.3722353</v>
      </c>
      <c r="W14" s="27">
        <v>3975743106.1301904</v>
      </c>
      <c r="X14" s="27">
        <v>3879244487.0493603</v>
      </c>
      <c r="Y14" s="16" t="s">
        <v>415</v>
      </c>
    </row>
    <row r="15" spans="1:25" x14ac:dyDescent="0.25">
      <c r="A15" s="18"/>
      <c r="B15" s="18"/>
      <c r="C15" s="18" t="s">
        <v>412</v>
      </c>
      <c r="D15" s="27">
        <f>SUM(E15:X15)</f>
        <v>25929403466.282059</v>
      </c>
      <c r="E15" s="27" cm="1">
        <f t="array" ref="E15:X15">volume_ed_capex/wacc_index</f>
        <v>4254922779.4454823</v>
      </c>
      <c r="F15" s="27">
        <v>3945875413.2160177</v>
      </c>
      <c r="G15" s="27">
        <v>3523850316.4908872</v>
      </c>
      <c r="H15" s="27">
        <v>2807735179.9068236</v>
      </c>
      <c r="I15" s="27">
        <v>2292106786.8790026</v>
      </c>
      <c r="J15" s="27">
        <v>1845511728.2849386</v>
      </c>
      <c r="K15" s="27">
        <v>1485931440.3387153</v>
      </c>
      <c r="L15" s="27">
        <v>1196411928.2184179</v>
      </c>
      <c r="M15" s="27">
        <v>963302520.64457846</v>
      </c>
      <c r="N15" s="27">
        <v>775612248.91999793</v>
      </c>
      <c r="O15" s="27">
        <v>624491629.35045886</v>
      </c>
      <c r="P15" s="27">
        <v>502815415.39839345</v>
      </c>
      <c r="Q15" s="27">
        <v>404846646.58391577</v>
      </c>
      <c r="R15" s="27">
        <v>325966154.24047661</v>
      </c>
      <c r="S15" s="27">
        <v>262454770.48382089</v>
      </c>
      <c r="T15" s="27">
        <v>211317971.67781433</v>
      </c>
      <c r="U15" s="27">
        <v>170144688.44176847</v>
      </c>
      <c r="V15" s="27">
        <v>136993625.17582667</v>
      </c>
      <c r="W15" s="27">
        <v>110301729.1382442</v>
      </c>
      <c r="X15" s="27">
        <v>88810493.446474865</v>
      </c>
    </row>
    <row r="16" spans="1:25" x14ac:dyDescent="0.25">
      <c r="D16" s="16" t="s">
        <v>433</v>
      </c>
    </row>
    <row r="18" spans="1:25" x14ac:dyDescent="0.25">
      <c r="D18" s="53" t="s">
        <v>351</v>
      </c>
      <c r="E18" s="53" cm="1">
        <f t="array" ref="E18:X18">years</f>
        <v>2018</v>
      </c>
      <c r="F18" s="53">
        <v>2019</v>
      </c>
      <c r="G18" s="53">
        <v>2020</v>
      </c>
      <c r="H18" s="53">
        <v>2021</v>
      </c>
      <c r="I18" s="53">
        <v>2022</v>
      </c>
      <c r="J18" s="53">
        <v>2023</v>
      </c>
      <c r="K18" s="53">
        <v>2024</v>
      </c>
      <c r="L18" s="53">
        <v>2025</v>
      </c>
      <c r="M18" s="53">
        <v>2026</v>
      </c>
      <c r="N18" s="53">
        <v>2027</v>
      </c>
      <c r="O18" s="53">
        <v>2028</v>
      </c>
      <c r="P18" s="53">
        <v>2029</v>
      </c>
      <c r="Q18" s="53">
        <v>2030</v>
      </c>
      <c r="R18" s="53">
        <v>2031</v>
      </c>
      <c r="S18" s="53">
        <v>2032</v>
      </c>
      <c r="T18" s="53">
        <v>2033</v>
      </c>
      <c r="U18" s="53">
        <v>2034</v>
      </c>
      <c r="V18" s="53">
        <v>2035</v>
      </c>
      <c r="W18" s="53">
        <v>2036</v>
      </c>
      <c r="X18" s="53">
        <v>2037</v>
      </c>
    </row>
    <row r="19" spans="1:25" x14ac:dyDescent="0.25">
      <c r="A19" s="18"/>
      <c r="B19" s="18" t="s">
        <v>411</v>
      </c>
      <c r="C19" s="18" t="s">
        <v>414</v>
      </c>
      <c r="D19" s="27">
        <f>core_costs_opex_incomingonly_discounted_pv</f>
        <v>72451907.215430319</v>
      </c>
      <c r="E19" s="18"/>
      <c r="F19" s="18"/>
      <c r="G19" s="18"/>
      <c r="H19" s="18"/>
      <c r="I19" s="18"/>
      <c r="J19" s="18"/>
      <c r="K19" s="18"/>
      <c r="L19" s="18"/>
      <c r="M19" s="18"/>
      <c r="N19" s="18"/>
      <c r="O19" s="18"/>
      <c r="P19" s="18"/>
      <c r="Q19" s="18"/>
      <c r="R19" s="18"/>
      <c r="S19" s="18"/>
      <c r="T19" s="18"/>
      <c r="U19" s="18"/>
      <c r="V19" s="18"/>
      <c r="W19" s="18"/>
      <c r="X19" s="18"/>
    </row>
    <row r="20" spans="1:25" x14ac:dyDescent="0.25">
      <c r="A20" s="18"/>
      <c r="B20" s="18"/>
      <c r="C20" s="18" t="s">
        <v>430</v>
      </c>
      <c r="D20" s="228">
        <f>D19/D28</f>
        <v>2.1026437884975125E-3</v>
      </c>
      <c r="E20" s="229" cm="1">
        <f t="array" ref="E20:X20">$D$20*opex_price_index</f>
        <v>1.921662929690166E-3</v>
      </c>
      <c r="F20" s="228">
        <v>2.0164353931691145E-3</v>
      </c>
      <c r="G20" s="228">
        <v>2.1026437884975125E-3</v>
      </c>
      <c r="H20" s="228">
        <v>2.1972627589799004E-3</v>
      </c>
      <c r="I20" s="228">
        <v>2.3488738893495133E-3</v>
      </c>
      <c r="J20" s="228">
        <v>2.489806322710484E-3</v>
      </c>
      <c r="K20" s="228">
        <v>2.6142966388460081E-3</v>
      </c>
      <c r="L20" s="228">
        <v>2.7319399875940786E-3</v>
      </c>
      <c r="M20" s="228">
        <v>2.8548772870358118E-3</v>
      </c>
      <c r="N20" s="228">
        <v>2.983346764952423E-3</v>
      </c>
      <c r="O20" s="228">
        <v>3.1175973693752818E-3</v>
      </c>
      <c r="P20" s="228">
        <v>3.2578892509971696E-3</v>
      </c>
      <c r="Q20" s="228">
        <v>3.4044942672920419E-3</v>
      </c>
      <c r="R20" s="228">
        <v>3.5576965093201836E-3</v>
      </c>
      <c r="S20" s="228">
        <v>3.7177928522395915E-3</v>
      </c>
      <c r="T20" s="228">
        <v>3.8850935305903733E-3</v>
      </c>
      <c r="U20" s="228">
        <v>4.0599227394669396E-3</v>
      </c>
      <c r="V20" s="228">
        <v>4.242619262742952E-3</v>
      </c>
      <c r="W20" s="228">
        <v>4.4335371295663841E-3</v>
      </c>
      <c r="X20" s="228">
        <v>4.6330463003968715E-3</v>
      </c>
      <c r="Y20" s="16" t="s">
        <v>423</v>
      </c>
    </row>
    <row r="21" spans="1:25" x14ac:dyDescent="0.25">
      <c r="A21" s="18"/>
      <c r="B21" s="18"/>
      <c r="C21" s="18" t="s">
        <v>431</v>
      </c>
      <c r="D21" s="228">
        <f>SUM(_xlfn.ANCHORARRAY(E21))</f>
        <v>1.1688652188122015E-2</v>
      </c>
      <c r="E21" s="229" cm="1">
        <f t="array" ref="E21:X21">opex_tariff/wacc_index</f>
        <v>1.5936676919119904E-3</v>
      </c>
      <c r="F21" s="228">
        <v>1.3945394036372649E-3</v>
      </c>
      <c r="G21" s="228">
        <v>1.2070034915930416E-3</v>
      </c>
      <c r="H21" s="228">
        <v>1.0733772339811976E-3</v>
      </c>
      <c r="I21" s="228">
        <v>9.600192721023206E-4</v>
      </c>
      <c r="J21" s="228">
        <v>8.3972859451411446E-4</v>
      </c>
      <c r="K21" s="228">
        <v>7.2758102862607171E-4</v>
      </c>
      <c r="L21" s="228">
        <v>6.2740905497018389E-4</v>
      </c>
      <c r="M21" s="228">
        <v>5.4102856832580377E-4</v>
      </c>
      <c r="N21" s="228">
        <v>4.6654078296428048E-4</v>
      </c>
      <c r="O21" s="228">
        <v>4.0230833436849181E-4</v>
      </c>
      <c r="P21" s="228">
        <v>3.4691928725712716E-4</v>
      </c>
      <c r="Q21" s="228">
        <v>2.991560989158045E-4</v>
      </c>
      <c r="R21" s="228">
        <v>2.5796885559779153E-4</v>
      </c>
      <c r="S21" s="228">
        <v>2.2245219368622569E-4</v>
      </c>
      <c r="T21" s="228">
        <v>1.9182539830687106E-4</v>
      </c>
      <c r="U21" s="228">
        <v>1.6541524192605978E-4</v>
      </c>
      <c r="V21" s="228">
        <v>1.4264118569786279E-4</v>
      </c>
      <c r="W21" s="228">
        <v>1.2300261826166545E-4</v>
      </c>
      <c r="X21" s="228">
        <v>1.0606785147784767E-4</v>
      </c>
      <c r="Y21" s="16"/>
    </row>
    <row r="22" spans="1:25" x14ac:dyDescent="0.25">
      <c r="A22" s="18"/>
      <c r="B22" s="18"/>
      <c r="C22" s="18" t="s">
        <v>418</v>
      </c>
      <c r="D22" s="18"/>
      <c r="E22" s="27">
        <f>E20*E26</f>
        <v>9859351.248612253</v>
      </c>
      <c r="F22" s="27">
        <f t="shared" ref="F22:X22" si="1">F20*F26</f>
        <v>11850002.087177496</v>
      </c>
      <c r="G22" s="27">
        <f t="shared" si="1"/>
        <v>13693510.040862389</v>
      </c>
      <c r="H22" s="27">
        <f t="shared" si="1"/>
        <v>13800010.851390097</v>
      </c>
      <c r="I22" s="27">
        <f t="shared" si="1"/>
        <v>14825972.658136692</v>
      </c>
      <c r="J22" s="27">
        <f t="shared" si="1"/>
        <v>15794108.672713015</v>
      </c>
      <c r="K22" s="27">
        <f t="shared" si="1"/>
        <v>16666733.176880408</v>
      </c>
      <c r="L22" s="27">
        <f t="shared" si="1"/>
        <v>17503819.850689225</v>
      </c>
      <c r="M22" s="27">
        <f t="shared" si="1"/>
        <v>18382949.202690087</v>
      </c>
      <c r="N22" s="27">
        <f t="shared" si="1"/>
        <v>19306232.826395195</v>
      </c>
      <c r="O22" s="27">
        <f t="shared" si="1"/>
        <v>20275888.370100889</v>
      </c>
      <c r="P22" s="27">
        <f t="shared" si="1"/>
        <v>21294244.863489203</v>
      </c>
      <c r="Q22" s="27">
        <f t="shared" si="1"/>
        <v>22363748.311757941</v>
      </c>
      <c r="R22" s="27">
        <f t="shared" si="1"/>
        <v>23486967.570715982</v>
      </c>
      <c r="S22" s="27">
        <f t="shared" si="1"/>
        <v>24666600.516955186</v>
      </c>
      <c r="T22" s="27">
        <f t="shared" si="1"/>
        <v>25905480.527919259</v>
      </c>
      <c r="U22" s="27">
        <f t="shared" si="1"/>
        <v>27206583.287434001</v>
      </c>
      <c r="V22" s="27">
        <f t="shared" si="1"/>
        <v>28573033.933045365</v>
      </c>
      <c r="W22" s="27">
        <f t="shared" si="1"/>
        <v>30008114.562332559</v>
      </c>
      <c r="X22" s="27">
        <f t="shared" si="1"/>
        <v>31515272.116225712</v>
      </c>
    </row>
    <row r="23" spans="1:25" x14ac:dyDescent="0.25">
      <c r="A23" s="18"/>
      <c r="B23" s="18"/>
      <c r="C23" s="18" t="s">
        <v>441</v>
      </c>
      <c r="D23" s="17">
        <f>SUM(E23:X23)</f>
        <v>72451907.215430349</v>
      </c>
      <c r="E23" s="27" cm="1">
        <f t="array" ref="E23:X23">opex_revenues/wacc_index</f>
        <v>8176527.3739546286</v>
      </c>
      <c r="F23" s="27">
        <v>8195300.9254519204</v>
      </c>
      <c r="G23" s="27">
        <v>7860634.5601200396</v>
      </c>
      <c r="H23" s="27">
        <v>6741395.5914187115</v>
      </c>
      <c r="I23" s="27">
        <v>6059592.8729979536</v>
      </c>
      <c r="J23" s="27">
        <v>5326825.848406639</v>
      </c>
      <c r="K23" s="27">
        <v>4638493.8451451734</v>
      </c>
      <c r="L23" s="27">
        <v>4019874.1995649668</v>
      </c>
      <c r="M23" s="27">
        <v>3483757.6851031338</v>
      </c>
      <c r="N23" s="27">
        <v>3019141.1487027556</v>
      </c>
      <c r="O23" s="27">
        <v>2616488.8892151364</v>
      </c>
      <c r="P23" s="27">
        <v>2267536.9484887482</v>
      </c>
      <c r="Q23" s="27">
        <v>1965123.5034688094</v>
      </c>
      <c r="R23" s="27">
        <v>1703041.8783073209</v>
      </c>
      <c r="S23" s="27">
        <v>1475913.1597321315</v>
      </c>
      <c r="T23" s="27">
        <v>1279075.8012571894</v>
      </c>
      <c r="U23" s="27">
        <v>1108489.9504918368</v>
      </c>
      <c r="V23" s="27">
        <v>960654.53598111216</v>
      </c>
      <c r="W23" s="27">
        <v>832535.41188317887</v>
      </c>
      <c r="X23" s="27">
        <v>721503.08573895309</v>
      </c>
    </row>
    <row r="24" spans="1:25" x14ac:dyDescent="0.25">
      <c r="D24" s="18" t="b">
        <f>ROUND(D23,2)=ROUND(D19,2)</f>
        <v>1</v>
      </c>
    </row>
    <row r="26" spans="1:25" x14ac:dyDescent="0.25">
      <c r="A26" s="18" t="s">
        <v>403</v>
      </c>
      <c r="B26" s="18"/>
      <c r="C26" s="18"/>
      <c r="D26" s="18"/>
      <c r="E26" s="27" cm="1">
        <f t="array" ref="E26:X26">fixed_minutes_incoming</f>
        <v>5130635085</v>
      </c>
      <c r="F26" s="27">
        <v>5876708040</v>
      </c>
      <c r="G26" s="27">
        <v>6512520150</v>
      </c>
      <c r="H26" s="27">
        <v>6280546464</v>
      </c>
      <c r="I26" s="27">
        <v>6311949196.3199997</v>
      </c>
      <c r="J26" s="27">
        <v>6343508942.3015985</v>
      </c>
      <c r="K26" s="27">
        <v>6375226487.0131063</v>
      </c>
      <c r="L26" s="27">
        <v>6407102619.4481707</v>
      </c>
      <c r="M26" s="27">
        <v>6439138132.5454111</v>
      </c>
      <c r="N26" s="27">
        <v>6471333823.2081385</v>
      </c>
      <c r="O26" s="27">
        <v>6503690492.3241777</v>
      </c>
      <c r="P26" s="27">
        <v>6536208944.7857981</v>
      </c>
      <c r="Q26" s="27">
        <v>6568889989.5097256</v>
      </c>
      <c r="R26" s="27">
        <v>6601734439.4572735</v>
      </c>
      <c r="S26" s="27">
        <v>6634743111.6545591</v>
      </c>
      <c r="T26" s="27">
        <v>6667916827.2128315</v>
      </c>
      <c r="U26" s="27">
        <v>6701256411.3488951</v>
      </c>
      <c r="V26" s="27">
        <v>6734762693.4056377</v>
      </c>
      <c r="W26" s="27">
        <v>6768436506.8726654</v>
      </c>
      <c r="X26" s="27">
        <v>6802278689.4070282</v>
      </c>
    </row>
    <row r="27" spans="1:25" x14ac:dyDescent="0.25">
      <c r="A27" s="18"/>
      <c r="B27" s="18"/>
      <c r="C27" s="18"/>
      <c r="D27" s="18"/>
      <c r="E27" s="27" cm="1">
        <f t="array" ref="E27:X27">fixed_minutes_incoming*opex_price_index</f>
        <v>4689025931.3287945</v>
      </c>
      <c r="F27" s="27">
        <v>5635763010.3599997</v>
      </c>
      <c r="G27" s="27">
        <v>6512520150</v>
      </c>
      <c r="H27" s="27">
        <v>6563171054.8799992</v>
      </c>
      <c r="I27" s="27">
        <v>7051110006.9550524</v>
      </c>
      <c r="J27" s="27">
        <v>7511547490.4092159</v>
      </c>
      <c r="K27" s="27">
        <v>7926560489.254324</v>
      </c>
      <c r="L27" s="27">
        <v>8324671989.8271208</v>
      </c>
      <c r="M27" s="27">
        <v>8742778640.5161877</v>
      </c>
      <c r="N27" s="27">
        <v>9181884697.7361126</v>
      </c>
      <c r="O27" s="27">
        <v>9643044856.6799049</v>
      </c>
      <c r="P27" s="27">
        <v>10127366784.606653</v>
      </c>
      <c r="Q27" s="27">
        <v>10636013781.36352</v>
      </c>
      <c r="R27" s="27">
        <v>11170207573.532499</v>
      </c>
      <c r="S27" s="27">
        <v>11731231248.913168</v>
      </c>
      <c r="T27" s="27">
        <v>12320432338.38983</v>
      </c>
      <c r="U27" s="27">
        <v>12939226052.585459</v>
      </c>
      <c r="V27" s="27">
        <v>13589098681.076557</v>
      </c>
      <c r="W27" s="27">
        <v>14271611162.333626</v>
      </c>
      <c r="X27" s="27">
        <v>14988402832.96183</v>
      </c>
      <c r="Y27" s="16" t="s">
        <v>417</v>
      </c>
    </row>
    <row r="28" spans="1:25" x14ac:dyDescent="0.25">
      <c r="A28" s="18"/>
      <c r="B28" s="18"/>
      <c r="C28" s="18"/>
      <c r="D28" s="17">
        <f>SUM(E28:X28)</f>
        <v>34457527999.643883</v>
      </c>
      <c r="E28" s="27" cm="1">
        <f t="array" ref="E28:X28">volume_ed_opex/wacc_index</f>
        <v>3888688811.0502706</v>
      </c>
      <c r="F28" s="27">
        <v>3897617356.9123855</v>
      </c>
      <c r="G28" s="27">
        <v>3738452800.765182</v>
      </c>
      <c r="H28" s="27">
        <v>3206152001.7310753</v>
      </c>
      <c r="I28" s="27">
        <v>2881892266.3681235</v>
      </c>
      <c r="J28" s="27">
        <v>2533394328.3912258</v>
      </c>
      <c r="K28" s="27">
        <v>2206029319.1457338</v>
      </c>
      <c r="L28" s="27">
        <v>1911818930.7935276</v>
      </c>
      <c r="M28" s="27">
        <v>1656846349.4201863</v>
      </c>
      <c r="N28" s="27">
        <v>1435878566.4119291</v>
      </c>
      <c r="O28" s="27">
        <v>1244380481.1488314</v>
      </c>
      <c r="P28" s="27">
        <v>1078421823.4649549</v>
      </c>
      <c r="Q28" s="27">
        <v>934596489.53331709</v>
      </c>
      <c r="R28" s="27">
        <v>809952635.64080179</v>
      </c>
      <c r="S28" s="27">
        <v>701932095.11097264</v>
      </c>
      <c r="T28" s="27">
        <v>608317874.97927988</v>
      </c>
      <c r="U28" s="27">
        <v>527188654.85243756</v>
      </c>
      <c r="V28" s="27">
        <v>456879354.09524006</v>
      </c>
      <c r="W28" s="27">
        <v>395946958.03328836</v>
      </c>
      <c r="X28" s="27">
        <v>343140901.79512429</v>
      </c>
    </row>
    <row r="29" spans="1:25" x14ac:dyDescent="0.25">
      <c r="D29" s="16" t="s">
        <v>432</v>
      </c>
    </row>
    <row r="30" spans="1:25" x14ac:dyDescent="0.25">
      <c r="E30" s="214" cm="1">
        <f t="array" ref="E30:X30">years</f>
        <v>2018</v>
      </c>
      <c r="F30" s="214">
        <v>2019</v>
      </c>
      <c r="G30" s="214">
        <v>2020</v>
      </c>
      <c r="H30" s="214">
        <v>2021</v>
      </c>
      <c r="I30" s="214">
        <v>2022</v>
      </c>
      <c r="J30" s="214">
        <v>2023</v>
      </c>
      <c r="K30" s="214">
        <v>2024</v>
      </c>
      <c r="L30" s="214">
        <v>2025</v>
      </c>
      <c r="M30" s="214">
        <v>2026</v>
      </c>
      <c r="N30" s="214">
        <v>2027</v>
      </c>
      <c r="O30" s="214">
        <v>2028</v>
      </c>
      <c r="P30" s="214">
        <v>2029</v>
      </c>
      <c r="Q30" s="214">
        <v>2030</v>
      </c>
      <c r="R30" s="214">
        <v>2031</v>
      </c>
      <c r="S30" s="214">
        <v>2032</v>
      </c>
      <c r="T30" s="214">
        <v>2033</v>
      </c>
      <c r="U30" s="214">
        <v>2034</v>
      </c>
      <c r="V30" s="214">
        <v>2035</v>
      </c>
      <c r="W30" s="214">
        <v>2036</v>
      </c>
      <c r="X30" s="214">
        <v>2037</v>
      </c>
    </row>
    <row r="31" spans="1:25" x14ac:dyDescent="0.25">
      <c r="A31" s="18" t="s">
        <v>422</v>
      </c>
      <c r="B31" s="18"/>
      <c r="C31" s="18"/>
      <c r="D31" s="18"/>
      <c r="E31" s="230" cm="1">
        <f t="array" ref="E31:X31">capex_tariff+  opex_tariff</f>
        <v>1.0164277595927926E-2</v>
      </c>
      <c r="F31" s="230">
        <v>1.001897390407956E-2</v>
      </c>
      <c r="G31" s="230">
        <v>9.8720986534591108E-3</v>
      </c>
      <c r="H31" s="230">
        <v>9.7404228220494132E-3</v>
      </c>
      <c r="I31" s="230">
        <v>9.6723302612616614E-3</v>
      </c>
      <c r="J31" s="230">
        <v>9.5999581401009192E-3</v>
      </c>
      <c r="K31" s="230">
        <v>9.5173566557299246E-3</v>
      </c>
      <c r="L31" s="230">
        <v>9.4339400039862298E-3</v>
      </c>
      <c r="M31" s="230">
        <v>9.3616734194553776E-3</v>
      </c>
      <c r="N31" s="230">
        <v>9.300624563418021E-3</v>
      </c>
      <c r="O31" s="230">
        <v>9.2508767853612985E-3</v>
      </c>
      <c r="P31" s="230">
        <v>9.2125294606923321E-3</v>
      </c>
      <c r="Q31" s="230">
        <v>9.1856983543747231E-3</v>
      </c>
      <c r="R31" s="230">
        <v>9.170516011342205E-3</v>
      </c>
      <c r="S31" s="230">
        <v>9.1671321745910687E-3</v>
      </c>
      <c r="T31" s="230">
        <v>9.1757142319024865E-3</v>
      </c>
      <c r="U31" s="230">
        <v>9.1964476921971468E-3</v>
      </c>
      <c r="V31" s="230">
        <v>9.2295366925781042E-3</v>
      </c>
      <c r="W31" s="230">
        <v>9.2752045371733271E-3</v>
      </c>
      <c r="X31" s="230">
        <v>9.3336942689473019E-3</v>
      </c>
      <c r="Y31" s="16" t="s">
        <v>425</v>
      </c>
    </row>
    <row r="32" spans="1:25" x14ac:dyDescent="0.25">
      <c r="A32" s="18"/>
      <c r="B32" s="18"/>
      <c r="C32" s="18" t="s">
        <v>427</v>
      </c>
      <c r="D32" s="230">
        <f>SUM(_xlfn.ANCHORARRAY(E32))</f>
        <v>4.6822984831764468E-2</v>
      </c>
      <c r="E32" s="230" cm="1">
        <f t="array" ref="E32:X32">pure_lric/wacc_index</f>
        <v>8.4294079705575266E-3</v>
      </c>
      <c r="F32" s="230">
        <v>6.9289866368064876E-3</v>
      </c>
      <c r="G32" s="230">
        <v>5.6669882027857365E-3</v>
      </c>
      <c r="H32" s="230">
        <v>4.7582602780709901E-3</v>
      </c>
      <c r="I32" s="230">
        <v>3.9532234995899194E-3</v>
      </c>
      <c r="J32" s="230">
        <v>3.2377455558894315E-3</v>
      </c>
      <c r="K32" s="230">
        <v>2.648761445997887E-3</v>
      </c>
      <c r="L32" s="230">
        <v>2.1665700598932302E-3</v>
      </c>
      <c r="M32" s="230">
        <v>1.7741332666948147E-3</v>
      </c>
      <c r="N32" s="230">
        <v>1.4544473062430142E-3</v>
      </c>
      <c r="O32" s="230">
        <v>1.1937734062537472E-3</v>
      </c>
      <c r="P32" s="230">
        <v>9.8100454254558891E-4</v>
      </c>
      <c r="Q32" s="230">
        <v>8.0715591502458653E-4</v>
      </c>
      <c r="R32" s="230">
        <v>6.6495484212598553E-4</v>
      </c>
      <c r="S32" s="230">
        <v>5.4851056610669526E-4</v>
      </c>
      <c r="T32" s="230">
        <v>4.5304830460986414E-4</v>
      </c>
      <c r="U32" s="230">
        <v>3.7469496773351904E-4</v>
      </c>
      <c r="V32" s="230">
        <v>3.1030643471413366E-4</v>
      </c>
      <c r="W32" s="230">
        <v>2.5732827077877204E-4</v>
      </c>
      <c r="X32" s="230">
        <v>2.1368335934254223E-4</v>
      </c>
      <c r="Y32" s="16"/>
    </row>
    <row r="34" spans="1:24" x14ac:dyDescent="0.25">
      <c r="A34" s="18" t="s">
        <v>426</v>
      </c>
      <c r="B34" s="18"/>
      <c r="C34" s="18" t="s">
        <v>437</v>
      </c>
      <c r="D34" s="17"/>
      <c r="E34" s="223" cm="1">
        <f t="array" ref="E34:X34">ROUND(pure_lric*fixed_minutes_incoming,2)</f>
        <v>52149199.25</v>
      </c>
      <c r="F34" s="223">
        <v>58878584.490000002</v>
      </c>
      <c r="G34" s="223">
        <v>64292241.399999999</v>
      </c>
      <c r="H34" s="223">
        <v>61175178.109999999</v>
      </c>
      <c r="I34" s="223">
        <v>61051257.219999999</v>
      </c>
      <c r="J34" s="223">
        <v>60897420.310000002</v>
      </c>
      <c r="K34" s="223">
        <v>60675304.240000002</v>
      </c>
      <c r="L34" s="223">
        <v>60444221.710000001</v>
      </c>
      <c r="M34" s="223">
        <v>60281108.299999997</v>
      </c>
      <c r="N34" s="223">
        <v>60187446.310000002</v>
      </c>
      <c r="O34" s="223">
        <v>60164839.390000001</v>
      </c>
      <c r="P34" s="223">
        <v>60215017.469999999</v>
      </c>
      <c r="Q34" s="223">
        <v>60339841.969999999</v>
      </c>
      <c r="R34" s="223">
        <v>60541311.380000003</v>
      </c>
      <c r="S34" s="223">
        <v>60821567.049999997</v>
      </c>
      <c r="T34" s="223">
        <v>61182899.329999998</v>
      </c>
      <c r="U34" s="223">
        <v>61627754.060000002</v>
      </c>
      <c r="V34" s="223">
        <v>62158739.390000001</v>
      </c>
      <c r="W34" s="223">
        <v>62778633</v>
      </c>
      <c r="X34" s="223">
        <v>63490389.619999997</v>
      </c>
    </row>
    <row r="35" spans="1:24" x14ac:dyDescent="0.25">
      <c r="A35" s="18"/>
      <c r="B35" s="18"/>
      <c r="C35" s="18" t="s">
        <v>438</v>
      </c>
      <c r="D35" s="17">
        <f>D28+D10</f>
        <v>34671254080.941856</v>
      </c>
      <c r="E35" s="223" cm="1">
        <f t="array" ref="E35:X35">ROUND(opex_revenues+capex_revenues,2)</f>
        <v>52149199.25</v>
      </c>
      <c r="F35" s="223">
        <v>58878584.490000002</v>
      </c>
      <c r="G35" s="223">
        <v>64292241.399999999</v>
      </c>
      <c r="H35" s="223">
        <v>61175178.109999999</v>
      </c>
      <c r="I35" s="223">
        <v>61051257.219999999</v>
      </c>
      <c r="J35" s="223">
        <v>60897420.310000002</v>
      </c>
      <c r="K35" s="223">
        <v>60675304.240000002</v>
      </c>
      <c r="L35" s="223">
        <v>60444221.710000001</v>
      </c>
      <c r="M35" s="223">
        <v>60281108.299999997</v>
      </c>
      <c r="N35" s="223">
        <v>60187446.310000002</v>
      </c>
      <c r="O35" s="223">
        <v>60164839.390000001</v>
      </c>
      <c r="P35" s="223">
        <v>60215017.469999999</v>
      </c>
      <c r="Q35" s="223">
        <v>60339841.969999999</v>
      </c>
      <c r="R35" s="223">
        <v>60541311.380000003</v>
      </c>
      <c r="S35" s="223">
        <v>60821567.049999997</v>
      </c>
      <c r="T35" s="223">
        <v>61182899.329999998</v>
      </c>
      <c r="U35" s="223">
        <v>61627754.060000002</v>
      </c>
      <c r="V35" s="223">
        <v>62158739.390000001</v>
      </c>
      <c r="W35" s="223">
        <v>62778633</v>
      </c>
      <c r="X35" s="223">
        <v>63490389.619999997</v>
      </c>
    </row>
    <row r="36" spans="1:24" x14ac:dyDescent="0.25">
      <c r="A36" s="18"/>
      <c r="B36" s="18"/>
      <c r="C36" s="18"/>
      <c r="D36" s="18"/>
      <c r="E36" s="18" t="b">
        <f>E35=E34</f>
        <v>1</v>
      </c>
      <c r="F36" s="18" t="b">
        <f t="shared" ref="F36:X36" si="2">F35=F34</f>
        <v>1</v>
      </c>
      <c r="G36" s="18" t="b">
        <f t="shared" si="2"/>
        <v>1</v>
      </c>
      <c r="H36" s="18" t="b">
        <f t="shared" si="2"/>
        <v>1</v>
      </c>
      <c r="I36" s="18" t="b">
        <f t="shared" si="2"/>
        <v>1</v>
      </c>
      <c r="J36" s="18" t="b">
        <f t="shared" si="2"/>
        <v>1</v>
      </c>
      <c r="K36" s="18" t="b">
        <f t="shared" si="2"/>
        <v>1</v>
      </c>
      <c r="L36" s="18" t="b">
        <f t="shared" si="2"/>
        <v>1</v>
      </c>
      <c r="M36" s="18" t="b">
        <f>M35=M34</f>
        <v>1</v>
      </c>
      <c r="N36" s="18" t="b">
        <f t="shared" si="2"/>
        <v>1</v>
      </c>
      <c r="O36" s="18" t="b">
        <f t="shared" si="2"/>
        <v>1</v>
      </c>
      <c r="P36" s="18" t="b">
        <f t="shared" si="2"/>
        <v>1</v>
      </c>
      <c r="Q36" s="18" t="b">
        <f t="shared" si="2"/>
        <v>1</v>
      </c>
      <c r="R36" s="18" t="b">
        <f t="shared" si="2"/>
        <v>1</v>
      </c>
      <c r="S36" s="18" t="b">
        <f t="shared" si="2"/>
        <v>1</v>
      </c>
      <c r="T36" s="18" t="b">
        <f t="shared" si="2"/>
        <v>1</v>
      </c>
      <c r="U36" s="18" t="b">
        <f t="shared" si="2"/>
        <v>1</v>
      </c>
      <c r="V36" s="18" t="b">
        <f t="shared" si="2"/>
        <v>1</v>
      </c>
      <c r="W36" s="18" t="b">
        <f t="shared" si="2"/>
        <v>1</v>
      </c>
      <c r="X36" s="18" t="b">
        <f t="shared" si="2"/>
        <v>1</v>
      </c>
    </row>
    <row r="37" spans="1:24" x14ac:dyDescent="0.25">
      <c r="D37" s="24"/>
      <c r="M37" s="24">
        <f>M34-M35</f>
        <v>0</v>
      </c>
    </row>
    <row r="38" spans="1:24" x14ac:dyDescent="0.25">
      <c r="D38" s="82"/>
    </row>
    <row r="39" spans="1:24" s="50" customFormat="1" x14ac:dyDescent="0.25">
      <c r="A39" s="49" t="s">
        <v>434</v>
      </c>
      <c r="D39" s="232"/>
    </row>
    <row r="40" spans="1:24" x14ac:dyDescent="0.25">
      <c r="D40" s="24"/>
    </row>
    <row r="41" spans="1:24" x14ac:dyDescent="0.25">
      <c r="A41" s="13" t="s">
        <v>435</v>
      </c>
      <c r="D41" s="53" t="s">
        <v>351</v>
      </c>
      <c r="E41" s="203" cm="1">
        <f t="array" ref="E41:X41">years</f>
        <v>2018</v>
      </c>
      <c r="F41" s="203">
        <v>2019</v>
      </c>
      <c r="G41" s="203">
        <v>2020</v>
      </c>
      <c r="H41" s="203">
        <v>2021</v>
      </c>
      <c r="I41" s="203">
        <v>2022</v>
      </c>
      <c r="J41" s="203">
        <v>2023</v>
      </c>
      <c r="K41" s="203">
        <v>2024</v>
      </c>
      <c r="L41" s="203">
        <v>2025</v>
      </c>
      <c r="M41" s="203">
        <v>2026</v>
      </c>
      <c r="N41" s="203">
        <v>2027</v>
      </c>
      <c r="O41" s="203">
        <v>2028</v>
      </c>
      <c r="P41" s="203">
        <v>2029</v>
      </c>
      <c r="Q41" s="203">
        <v>2030</v>
      </c>
      <c r="R41" s="203">
        <v>2031</v>
      </c>
      <c r="S41" s="203">
        <v>2032</v>
      </c>
      <c r="T41" s="203">
        <v>2033</v>
      </c>
      <c r="U41" s="203">
        <v>2034</v>
      </c>
      <c r="V41" s="203">
        <v>2035</v>
      </c>
      <c r="W41" s="203">
        <v>2036</v>
      </c>
      <c r="X41" s="203">
        <v>2037</v>
      </c>
    </row>
    <row r="42" spans="1:24" x14ac:dyDescent="0.25">
      <c r="A42" s="18"/>
      <c r="B42" s="18"/>
      <c r="C42" s="18" t="s">
        <v>436</v>
      </c>
      <c r="D42" s="231">
        <f>ROUND(SUM(E42:X42),1)</f>
        <v>286177988.5</v>
      </c>
      <c r="E42" s="27" cm="1">
        <f t="array" ref="E42:X42">E34:X34/wacc_index</f>
        <v>43248216.281721048</v>
      </c>
      <c r="F42" s="27">
        <v>40719631.47435423</v>
      </c>
      <c r="G42" s="27">
        <v>36906374.858479507</v>
      </c>
      <c r="H42" s="27">
        <v>29884474.762819923</v>
      </c>
      <c r="I42" s="27">
        <v>24952545.891472805</v>
      </c>
      <c r="J42" s="27">
        <v>20538667.887541495</v>
      </c>
      <c r="K42" s="27">
        <v>16886454.128872644</v>
      </c>
      <c r="L42" s="27">
        <v>13881436.705671204</v>
      </c>
      <c r="M42" s="27">
        <v>11423889.169857904</v>
      </c>
      <c r="N42" s="27">
        <v>9412214.0463064145</v>
      </c>
      <c r="O42" s="27">
        <v>7763932.7516461806</v>
      </c>
      <c r="P42" s="27">
        <v>6412050.6663858993</v>
      </c>
      <c r="Q42" s="27">
        <v>5302118.4104678333</v>
      </c>
      <c r="R42" s="27">
        <v>4389855.2819707636</v>
      </c>
      <c r="S42" s="27">
        <v>3639226.7002062742</v>
      </c>
      <c r="T42" s="27">
        <v>3020888.4139175387</v>
      </c>
      <c r="U42" s="27">
        <v>2510927.0548663419</v>
      </c>
      <c r="V42" s="27">
        <v>2089840.1998820221</v>
      </c>
      <c r="W42" s="27">
        <v>1741710.062241754</v>
      </c>
      <c r="X42" s="27">
        <v>1453533.7615572666</v>
      </c>
    </row>
    <row r="43" spans="1:24" x14ac:dyDescent="0.25">
      <c r="A43" s="18"/>
      <c r="B43" s="18"/>
      <c r="C43" s="18" t="s">
        <v>439</v>
      </c>
      <c r="D43" s="231">
        <f>ROUND(D6+D19,1)</f>
        <v>286177988.5</v>
      </c>
      <c r="E43" s="27"/>
      <c r="F43" s="27"/>
      <c r="G43" s="27"/>
      <c r="H43" s="27"/>
      <c r="I43" s="27"/>
      <c r="J43" s="27"/>
      <c r="K43" s="27"/>
      <c r="L43" s="27"/>
      <c r="M43" s="27"/>
      <c r="N43" s="27"/>
      <c r="O43" s="27"/>
      <c r="P43" s="27"/>
      <c r="Q43" s="27"/>
      <c r="R43" s="27"/>
      <c r="S43" s="27"/>
      <c r="T43" s="27"/>
      <c r="U43" s="27"/>
      <c r="V43" s="27"/>
      <c r="W43" s="27"/>
      <c r="X43" s="27"/>
    </row>
    <row r="44" spans="1:24" x14ac:dyDescent="0.25">
      <c r="D44" s="18" t="b">
        <f>D43=D42</f>
        <v>1</v>
      </c>
    </row>
  </sheetData>
  <conditionalFormatting sqref="D11">
    <cfRule type="cellIs" dxfId="7" priority="7" operator="equal">
      <formula>TRUE</formula>
    </cfRule>
    <cfRule type="cellIs" dxfId="6" priority="8" operator="equal">
      <formula>FALSE</formula>
    </cfRule>
  </conditionalFormatting>
  <conditionalFormatting sqref="D24">
    <cfRule type="cellIs" dxfId="5" priority="5" operator="equal">
      <formula>TRUE</formula>
    </cfRule>
    <cfRule type="cellIs" dxfId="4" priority="6" operator="equal">
      <formula>FALSE</formula>
    </cfRule>
  </conditionalFormatting>
  <conditionalFormatting sqref="D44">
    <cfRule type="cellIs" dxfId="3" priority="1" operator="equal">
      <formula>TRUE</formula>
    </cfRule>
    <cfRule type="cellIs" dxfId="2" priority="2" operator="equal">
      <formula>FALSE</formula>
    </cfRule>
  </conditionalFormatting>
  <conditionalFormatting sqref="E36:X36">
    <cfRule type="cellIs" dxfId="1" priority="3" operator="equal">
      <formula>TRUE</formula>
    </cfRule>
    <cfRule type="cellIs" dxfId="0" priority="4" operator="equal">
      <formula>FALSE</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B89FC-879E-4E94-B95D-DFA39955FFEF}">
  <sheetPr>
    <tabColor theme="3" tint="0.79998168889431442"/>
  </sheetPr>
  <dimension ref="B2"/>
  <sheetViews>
    <sheetView workbookViewId="0">
      <selection activeCell="B6" sqref="B6"/>
    </sheetView>
  </sheetViews>
  <sheetFormatPr defaultColWidth="8.5703125" defaultRowHeight="15" x14ac:dyDescent="0.25"/>
  <cols>
    <col min="1" max="16384" width="8.5703125" style="13"/>
  </cols>
  <sheetData>
    <row r="2" spans="2:2" x14ac:dyDescent="0.25">
      <c r="B2" s="13"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1D284-C3DD-4A9A-9C93-495896E40B45}">
  <dimension ref="A1:X55"/>
  <sheetViews>
    <sheetView zoomScaleNormal="100" workbookViewId="0">
      <pane xSplit="1" topLeftCell="B1" activePane="topRight" state="frozen"/>
      <selection activeCell="B6" sqref="B6"/>
      <selection pane="topRight" activeCell="F11" sqref="F11"/>
    </sheetView>
  </sheetViews>
  <sheetFormatPr defaultColWidth="8.5703125" defaultRowHeight="15" x14ac:dyDescent="0.25"/>
  <cols>
    <col min="1" max="1" width="55.7109375" style="13" customWidth="1"/>
    <col min="2" max="2" width="27.42578125" style="13" customWidth="1"/>
    <col min="3" max="3" width="10" style="13" bestFit="1" customWidth="1"/>
    <col min="4" max="23" width="15.7109375" style="13" customWidth="1"/>
    <col min="24" max="16384" width="8.5703125" style="13"/>
  </cols>
  <sheetData>
    <row r="1" spans="1:24" ht="18.75" x14ac:dyDescent="0.3">
      <c r="A1" s="51" t="s">
        <v>262</v>
      </c>
      <c r="B1" s="51"/>
      <c r="C1" s="50"/>
    </row>
    <row r="2" spans="1:24" x14ac:dyDescent="0.25">
      <c r="C2"/>
    </row>
    <row r="3" spans="1:24" x14ac:dyDescent="0.25">
      <c r="D3" s="53" cm="1">
        <f t="array" ref="D3:W3">years</f>
        <v>2018</v>
      </c>
      <c r="E3" s="53">
        <v>2019</v>
      </c>
      <c r="F3" s="53">
        <v>2020</v>
      </c>
      <c r="G3" s="53">
        <v>2021</v>
      </c>
      <c r="H3" s="53">
        <v>2022</v>
      </c>
      <c r="I3" s="53">
        <v>2023</v>
      </c>
      <c r="J3" s="53">
        <v>2024</v>
      </c>
      <c r="K3" s="53">
        <v>2025</v>
      </c>
      <c r="L3" s="53">
        <v>2026</v>
      </c>
      <c r="M3" s="53">
        <v>2027</v>
      </c>
      <c r="N3" s="53">
        <v>2028</v>
      </c>
      <c r="O3" s="53">
        <v>2029</v>
      </c>
      <c r="P3" s="53">
        <v>2030</v>
      </c>
      <c r="Q3" s="53">
        <v>2031</v>
      </c>
      <c r="R3" s="53">
        <v>2032</v>
      </c>
      <c r="S3" s="53">
        <v>2033</v>
      </c>
      <c r="T3" s="53">
        <v>2034</v>
      </c>
      <c r="U3" s="53">
        <v>2035</v>
      </c>
      <c r="V3" s="53">
        <v>2036</v>
      </c>
      <c r="W3" s="53">
        <v>2037</v>
      </c>
    </row>
    <row r="4" spans="1:24" x14ac:dyDescent="0.25">
      <c r="A4" s="18" t="s">
        <v>263</v>
      </c>
      <c r="C4" s="173">
        <v>-0.03</v>
      </c>
      <c r="D4" s="61">
        <f>$C4</f>
        <v>-0.03</v>
      </c>
      <c r="E4" s="61">
        <f>$C4</f>
        <v>-0.03</v>
      </c>
      <c r="F4" s="61">
        <f t="shared" ref="F4:W4" si="0">$C4</f>
        <v>-0.03</v>
      </c>
      <c r="G4" s="61">
        <f t="shared" si="0"/>
        <v>-0.03</v>
      </c>
      <c r="H4" s="61">
        <f t="shared" si="0"/>
        <v>-0.03</v>
      </c>
      <c r="I4" s="61">
        <f t="shared" si="0"/>
        <v>-0.03</v>
      </c>
      <c r="J4" s="61">
        <f t="shared" si="0"/>
        <v>-0.03</v>
      </c>
      <c r="K4" s="61">
        <f t="shared" si="0"/>
        <v>-0.03</v>
      </c>
      <c r="L4" s="61">
        <f t="shared" si="0"/>
        <v>-0.03</v>
      </c>
      <c r="M4" s="61">
        <f t="shared" si="0"/>
        <v>-0.03</v>
      </c>
      <c r="N4" s="61">
        <f t="shared" si="0"/>
        <v>-0.03</v>
      </c>
      <c r="O4" s="61">
        <f t="shared" si="0"/>
        <v>-0.03</v>
      </c>
      <c r="P4" s="61">
        <f t="shared" si="0"/>
        <v>-0.03</v>
      </c>
      <c r="Q4" s="61">
        <f t="shared" si="0"/>
        <v>-0.03</v>
      </c>
      <c r="R4" s="61">
        <f t="shared" si="0"/>
        <v>-0.03</v>
      </c>
      <c r="S4" s="61">
        <f t="shared" si="0"/>
        <v>-0.03</v>
      </c>
      <c r="T4" s="61">
        <f t="shared" si="0"/>
        <v>-0.03</v>
      </c>
      <c r="U4" s="61">
        <f t="shared" si="0"/>
        <v>-0.03</v>
      </c>
      <c r="V4" s="61">
        <f t="shared" si="0"/>
        <v>-0.03</v>
      </c>
      <c r="W4" s="61">
        <f t="shared" si="0"/>
        <v>-0.03</v>
      </c>
      <c r="X4" s="16" t="s">
        <v>388</v>
      </c>
    </row>
    <row r="5" spans="1:24" x14ac:dyDescent="0.25">
      <c r="A5" s="18" t="s">
        <v>387</v>
      </c>
      <c r="D5" s="18">
        <v>1</v>
      </c>
      <c r="E5" s="61">
        <f>D5/(1-E4)</f>
        <v>0.970873786407767</v>
      </c>
      <c r="F5" s="61">
        <f>E5/(1-F4)</f>
        <v>0.94259590913375435</v>
      </c>
      <c r="G5" s="61">
        <f t="shared" ref="G5:W5" si="1">F5/(1-G4)</f>
        <v>0.9151416593531595</v>
      </c>
      <c r="H5" s="61">
        <f t="shared" si="1"/>
        <v>0.88848704791568878</v>
      </c>
      <c r="I5" s="61">
        <f t="shared" si="1"/>
        <v>0.86260878438416388</v>
      </c>
      <c r="J5" s="61">
        <f t="shared" si="1"/>
        <v>0.83748425668365423</v>
      </c>
      <c r="K5" s="61">
        <f t="shared" si="1"/>
        <v>0.81309151134335356</v>
      </c>
      <c r="L5" s="61">
        <f t="shared" si="1"/>
        <v>0.7894092343139355</v>
      </c>
      <c r="M5" s="61">
        <f t="shared" si="1"/>
        <v>0.76641673234362673</v>
      </c>
      <c r="N5" s="61">
        <f t="shared" si="1"/>
        <v>0.74409391489672494</v>
      </c>
      <c r="O5" s="61">
        <f t="shared" si="1"/>
        <v>0.7224212765987621</v>
      </c>
      <c r="P5" s="61">
        <f t="shared" si="1"/>
        <v>0.70137988019297293</v>
      </c>
      <c r="Q5" s="61">
        <f t="shared" si="1"/>
        <v>0.68095133999317758</v>
      </c>
      <c r="R5" s="61">
        <f t="shared" si="1"/>
        <v>0.66111780581861901</v>
      </c>
      <c r="S5" s="61">
        <f t="shared" si="1"/>
        <v>0.64186194739671742</v>
      </c>
      <c r="T5" s="61">
        <f t="shared" si="1"/>
        <v>0.62316693922011401</v>
      </c>
      <c r="U5" s="61">
        <f t="shared" si="1"/>
        <v>0.60501644584477088</v>
      </c>
      <c r="V5" s="61">
        <f t="shared" si="1"/>
        <v>0.58739460761628237</v>
      </c>
      <c r="W5" s="61">
        <f t="shared" si="1"/>
        <v>0.57028602681192464</v>
      </c>
      <c r="X5" s="16" t="s">
        <v>389</v>
      </c>
    </row>
    <row r="7" spans="1:24" x14ac:dyDescent="0.25">
      <c r="A7" s="18" t="s">
        <v>264</v>
      </c>
      <c r="D7" s="61" cm="1">
        <f t="array" ref="D7:W7">inflation</f>
        <v>4.7E-2</v>
      </c>
      <c r="E7" s="61">
        <v>4.0999999999999995E-2</v>
      </c>
      <c r="F7" s="61">
        <v>3.3000000000000002E-2</v>
      </c>
      <c r="G7" s="61">
        <v>4.4999999999999998E-2</v>
      </c>
      <c r="H7" s="61">
        <v>6.9000000000000006E-2</v>
      </c>
      <c r="I7" s="61">
        <v>0.06</v>
      </c>
      <c r="J7" s="61">
        <v>0.05</v>
      </c>
      <c r="K7" s="61">
        <v>4.4999999999999998E-2</v>
      </c>
      <c r="L7" s="61">
        <v>4.4999999999999998E-2</v>
      </c>
      <c r="M7" s="61">
        <v>4.4999999999999998E-2</v>
      </c>
      <c r="N7" s="61">
        <v>4.4999999999999998E-2</v>
      </c>
      <c r="O7" s="61">
        <v>4.4999999999999998E-2</v>
      </c>
      <c r="P7" s="61">
        <v>4.4999999999999998E-2</v>
      </c>
      <c r="Q7" s="61">
        <v>4.4999999999999998E-2</v>
      </c>
      <c r="R7" s="61">
        <v>4.4999999999999998E-2</v>
      </c>
      <c r="S7" s="61">
        <v>4.4999999999999998E-2</v>
      </c>
      <c r="T7" s="61">
        <v>4.4999999999999998E-2</v>
      </c>
      <c r="U7" s="61">
        <v>4.4999999999999998E-2</v>
      </c>
      <c r="V7" s="61">
        <v>4.4999999999999998E-2</v>
      </c>
      <c r="W7" s="61">
        <v>4.4999999999999998E-2</v>
      </c>
      <c r="X7" s="16"/>
    </row>
    <row r="8" spans="1:24" x14ac:dyDescent="0.25">
      <c r="A8" s="18" t="s">
        <v>265</v>
      </c>
      <c r="D8" s="61">
        <f>E8*(1-D7)</f>
        <v>0.91392699999999993</v>
      </c>
      <c r="E8" s="61">
        <f>F8*(1-E7)</f>
        <v>0.95899999999999996</v>
      </c>
      <c r="F8" s="61">
        <v>1</v>
      </c>
      <c r="G8" s="61">
        <f t="shared" ref="G8:W8" si="2">F8*(1+G7)</f>
        <v>1.0449999999999999</v>
      </c>
      <c r="H8" s="61">
        <f>G8*(1+H7)</f>
        <v>1.1171049999999998</v>
      </c>
      <c r="I8" s="61">
        <f t="shared" si="2"/>
        <v>1.1841312999999998</v>
      </c>
      <c r="J8" s="61">
        <f t="shared" si="2"/>
        <v>1.2433378649999998</v>
      </c>
      <c r="K8" s="61">
        <f t="shared" si="2"/>
        <v>1.2992880689249997</v>
      </c>
      <c r="L8" s="61">
        <f t="shared" si="2"/>
        <v>1.3577560320266246</v>
      </c>
      <c r="M8" s="61">
        <f t="shared" si="2"/>
        <v>1.4188550534678226</v>
      </c>
      <c r="N8" s="61">
        <f t="shared" si="2"/>
        <v>1.4827035308738745</v>
      </c>
      <c r="O8" s="61">
        <f t="shared" si="2"/>
        <v>1.5494251897631988</v>
      </c>
      <c r="P8" s="61">
        <f t="shared" si="2"/>
        <v>1.6191493233025427</v>
      </c>
      <c r="Q8" s="61">
        <f t="shared" si="2"/>
        <v>1.692011042851157</v>
      </c>
      <c r="R8" s="61">
        <f t="shared" si="2"/>
        <v>1.7681515397794589</v>
      </c>
      <c r="S8" s="61">
        <f t="shared" si="2"/>
        <v>1.8477183590695345</v>
      </c>
      <c r="T8" s="61">
        <f t="shared" si="2"/>
        <v>1.9308656852276636</v>
      </c>
      <c r="U8" s="61">
        <f t="shared" si="2"/>
        <v>2.0177546410629081</v>
      </c>
      <c r="V8" s="61">
        <f t="shared" si="2"/>
        <v>2.108553599910739</v>
      </c>
      <c r="W8" s="61">
        <f t="shared" si="2"/>
        <v>2.2034385119067221</v>
      </c>
      <c r="X8" s="16" t="s">
        <v>390</v>
      </c>
    </row>
    <row r="10" spans="1:24" x14ac:dyDescent="0.25">
      <c r="A10" s="18" t="s">
        <v>266</v>
      </c>
      <c r="C10" s="8">
        <v>0.08</v>
      </c>
      <c r="D10" s="85" t="s">
        <v>443</v>
      </c>
    </row>
    <row r="12" spans="1:24" x14ac:dyDescent="0.25">
      <c r="A12" s="49" t="s">
        <v>267</v>
      </c>
      <c r="B12" s="50"/>
      <c r="C12" s="50"/>
      <c r="D12" s="50"/>
      <c r="E12" s="50"/>
      <c r="F12" s="50"/>
      <c r="G12" s="50"/>
      <c r="H12" s="50"/>
      <c r="I12" s="50"/>
      <c r="J12" s="50"/>
      <c r="K12" s="50"/>
      <c r="L12" s="50"/>
      <c r="M12" s="50"/>
      <c r="N12" s="50"/>
      <c r="O12" s="50"/>
      <c r="P12" s="50"/>
      <c r="Q12" s="50"/>
      <c r="R12" s="50"/>
      <c r="S12" s="50"/>
      <c r="T12" s="50"/>
      <c r="U12" s="50"/>
      <c r="V12" s="50"/>
      <c r="W12" s="50"/>
    </row>
    <row r="14" spans="1:24" x14ac:dyDescent="0.25">
      <c r="A14" s="30" t="s">
        <v>178</v>
      </c>
      <c r="B14" s="30"/>
      <c r="C14" s="201"/>
      <c r="D14" s="200" cm="1">
        <f t="array" ref="D14:W14">years</f>
        <v>2018</v>
      </c>
      <c r="E14" s="53">
        <v>2019</v>
      </c>
      <c r="F14" s="53">
        <v>2020</v>
      </c>
      <c r="G14" s="53">
        <v>2021</v>
      </c>
      <c r="H14" s="53">
        <v>2022</v>
      </c>
      <c r="I14" s="53">
        <v>2023</v>
      </c>
      <c r="J14" s="53">
        <v>2024</v>
      </c>
      <c r="K14" s="53">
        <v>2025</v>
      </c>
      <c r="L14" s="53">
        <v>2026</v>
      </c>
      <c r="M14" s="53">
        <v>2027</v>
      </c>
      <c r="N14" s="53">
        <v>2028</v>
      </c>
      <c r="O14" s="53">
        <v>2029</v>
      </c>
      <c r="P14" s="53">
        <v>2030</v>
      </c>
      <c r="Q14" s="53">
        <v>2031</v>
      </c>
      <c r="R14" s="53">
        <v>2032</v>
      </c>
      <c r="S14" s="53">
        <v>2033</v>
      </c>
      <c r="T14" s="53">
        <v>2034</v>
      </c>
      <c r="U14" s="53">
        <v>2035</v>
      </c>
      <c r="V14" s="53">
        <v>2036</v>
      </c>
      <c r="W14" s="53">
        <v>2037</v>
      </c>
    </row>
    <row r="15" spans="1:24" x14ac:dyDescent="0.25">
      <c r="A15" s="18" t="str" cm="1">
        <f t="array" ref="A15:A30">core_elements</f>
        <v>Application server hardware</v>
      </c>
      <c r="B15" s="18"/>
      <c r="C15" s="18"/>
      <c r="D15" s="174">
        <v>1042798.53823411</v>
      </c>
      <c r="E15" s="75">
        <f>$D15*E$5</f>
        <v>1012425.7652758349</v>
      </c>
      <c r="F15" s="75">
        <f t="shared" ref="F15:L15" si="3">$D15*F$5</f>
        <v>982937.63619013096</v>
      </c>
      <c r="G15" s="75">
        <f t="shared" si="3"/>
        <v>954308.3846506126</v>
      </c>
      <c r="H15" s="75">
        <f t="shared" si="3"/>
        <v>926512.99480641994</v>
      </c>
      <c r="I15" s="75">
        <f t="shared" si="3"/>
        <v>899527.1794237087</v>
      </c>
      <c r="J15" s="75">
        <f t="shared" si="3"/>
        <v>873327.35866379482</v>
      </c>
      <c r="K15" s="75">
        <f t="shared" si="3"/>
        <v>847890.63947941235</v>
      </c>
      <c r="L15" s="75">
        <f t="shared" si="3"/>
        <v>823194.79561108002</v>
      </c>
      <c r="M15" s="75">
        <f t="shared" ref="F15:W29" si="4">$D15*M$5</f>
        <v>799218.2481660971</v>
      </c>
      <c r="N15" s="75">
        <f t="shared" si="4"/>
        <v>775940.04676320101</v>
      </c>
      <c r="O15" s="75">
        <f t="shared" si="4"/>
        <v>753339.85122640873</v>
      </c>
      <c r="P15" s="75">
        <f t="shared" si="4"/>
        <v>731397.91381204734</v>
      </c>
      <c r="Q15" s="75">
        <f t="shared" si="4"/>
        <v>710095.06195344403</v>
      </c>
      <c r="R15" s="75">
        <f t="shared" si="4"/>
        <v>689412.68150819803</v>
      </c>
      <c r="S15" s="75">
        <f t="shared" si="4"/>
        <v>669332.70049339614</v>
      </c>
      <c r="T15" s="75">
        <f t="shared" si="4"/>
        <v>649837.57329455938</v>
      </c>
      <c r="U15" s="75">
        <f t="shared" si="4"/>
        <v>630910.26533452363</v>
      </c>
      <c r="V15" s="75">
        <f t="shared" si="4"/>
        <v>612534.23818885791</v>
      </c>
      <c r="W15" s="75">
        <f t="shared" si="4"/>
        <v>594693.43513481342</v>
      </c>
    </row>
    <row r="16" spans="1:24" x14ac:dyDescent="0.25">
      <c r="A16" s="18" t="str">
        <v>Application server software</v>
      </c>
      <c r="B16" s="18"/>
      <c r="C16" s="18"/>
      <c r="D16" s="174">
        <v>1773602.4365887332</v>
      </c>
      <c r="E16" s="75">
        <f t="shared" ref="E16:E30" si="5">$D16*E$5</f>
        <v>1721944.1131929448</v>
      </c>
      <c r="F16" s="75">
        <f>$D16*F$5</f>
        <v>1671790.4011581989</v>
      </c>
      <c r="G16" s="75">
        <f t="shared" si="4"/>
        <v>1623097.4768526203</v>
      </c>
      <c r="H16" s="75">
        <f t="shared" si="4"/>
        <v>1575822.7930607961</v>
      </c>
      <c r="I16" s="75">
        <f t="shared" si="4"/>
        <v>1529925.0418065982</v>
      </c>
      <c r="J16" s="75">
        <f t="shared" si="4"/>
        <v>1485364.1182588332</v>
      </c>
      <c r="K16" s="75">
        <f t="shared" si="4"/>
        <v>1442101.0856881875</v>
      </c>
      <c r="L16" s="75">
        <f t="shared" si="4"/>
        <v>1400098.1414448423</v>
      </c>
      <c r="M16" s="75">
        <f t="shared" si="4"/>
        <v>1359318.5839270314</v>
      </c>
      <c r="N16" s="75">
        <f t="shared" si="4"/>
        <v>1319726.7805116808</v>
      </c>
      <c r="O16" s="75">
        <f t="shared" si="4"/>
        <v>1281288.1364191077</v>
      </c>
      <c r="P16" s="75">
        <f t="shared" si="4"/>
        <v>1243969.0644845706</v>
      </c>
      <c r="Q16" s="75">
        <f t="shared" si="4"/>
        <v>1207736.9558102626</v>
      </c>
      <c r="R16" s="75">
        <f t="shared" si="4"/>
        <v>1172560.1512720997</v>
      </c>
      <c r="S16" s="75">
        <f t="shared" si="4"/>
        <v>1138407.9138564074</v>
      </c>
      <c r="T16" s="75">
        <f t="shared" si="4"/>
        <v>1105250.4018023373</v>
      </c>
      <c r="U16" s="75">
        <f t="shared" si="4"/>
        <v>1073058.6425265409</v>
      </c>
      <c r="V16" s="75">
        <f t="shared" si="4"/>
        <v>1041804.5073073213</v>
      </c>
      <c r="W16" s="75">
        <f t="shared" si="4"/>
        <v>1011460.6867061371</v>
      </c>
    </row>
    <row r="17" spans="1:24" x14ac:dyDescent="0.25">
      <c r="A17" s="18" t="str">
        <v>Charging data function hardware</v>
      </c>
      <c r="B17" s="18"/>
      <c r="C17" s="18"/>
      <c r="D17" s="174">
        <v>1546375.5497471993</v>
      </c>
      <c r="E17" s="75">
        <f t="shared" si="5"/>
        <v>1501335.4851914556</v>
      </c>
      <c r="F17" s="75">
        <f t="shared" si="4"/>
        <v>1457607.2671761706</v>
      </c>
      <c r="G17" s="75">
        <f t="shared" si="4"/>
        <v>1415152.6865788063</v>
      </c>
      <c r="H17" s="75">
        <f t="shared" si="4"/>
        <v>1373934.6471638894</v>
      </c>
      <c r="I17" s="75">
        <f t="shared" si="4"/>
        <v>1333917.1331688247</v>
      </c>
      <c r="J17" s="75">
        <f t="shared" si="4"/>
        <v>1295065.1778338104</v>
      </c>
      <c r="K17" s="75">
        <f t="shared" si="4"/>
        <v>1257344.8328483594</v>
      </c>
      <c r="L17" s="75">
        <f t="shared" si="4"/>
        <v>1220723.1386877277</v>
      </c>
      <c r="M17" s="75">
        <f t="shared" si="4"/>
        <v>1185168.0958133279</v>
      </c>
      <c r="N17" s="75">
        <f t="shared" si="4"/>
        <v>1150648.6367119688</v>
      </c>
      <c r="O17" s="75">
        <f t="shared" si="4"/>
        <v>1117134.5987494842</v>
      </c>
      <c r="P17" s="75">
        <f t="shared" si="4"/>
        <v>1084596.6978150334</v>
      </c>
      <c r="Q17" s="75">
        <f t="shared" si="4"/>
        <v>1053006.502733042</v>
      </c>
      <c r="R17" s="75">
        <f t="shared" si="4"/>
        <v>1022336.4104204291</v>
      </c>
      <c r="S17" s="75">
        <f t="shared" si="4"/>
        <v>992559.62176740682</v>
      </c>
      <c r="T17" s="75">
        <f t="shared" si="4"/>
        <v>963650.1182207833</v>
      </c>
      <c r="U17" s="75">
        <f t="shared" si="4"/>
        <v>935582.63904930418</v>
      </c>
      <c r="V17" s="75">
        <f t="shared" si="4"/>
        <v>908332.6592711691</v>
      </c>
      <c r="W17" s="75">
        <f t="shared" si="4"/>
        <v>881876.36822443595</v>
      </c>
    </row>
    <row r="18" spans="1:24" x14ac:dyDescent="0.25">
      <c r="A18" s="18" t="str">
        <v>Charging data function software</v>
      </c>
      <c r="B18" s="18"/>
      <c r="C18" s="18"/>
      <c r="D18" s="174">
        <v>1841.3017527999991</v>
      </c>
      <c r="E18" s="75">
        <f t="shared" si="5"/>
        <v>1787.6716046601935</v>
      </c>
      <c r="F18" s="75">
        <f t="shared" si="4"/>
        <v>1735.6034996700905</v>
      </c>
      <c r="G18" s="75">
        <f t="shared" si="4"/>
        <v>1685.0519414272724</v>
      </c>
      <c r="H18" s="75">
        <f t="shared" si="4"/>
        <v>1635.9727586672545</v>
      </c>
      <c r="I18" s="75">
        <f t="shared" si="4"/>
        <v>1588.3230666672375</v>
      </c>
      <c r="J18" s="75">
        <f t="shared" si="4"/>
        <v>1542.061229774017</v>
      </c>
      <c r="K18" s="75">
        <f t="shared" si="4"/>
        <v>1497.1468250233172</v>
      </c>
      <c r="L18" s="75">
        <f t="shared" si="4"/>
        <v>1453.5406068187547</v>
      </c>
      <c r="M18" s="75">
        <f t="shared" si="4"/>
        <v>1411.2044726395677</v>
      </c>
      <c r="N18" s="75">
        <f t="shared" si="4"/>
        <v>1370.1014297471529</v>
      </c>
      <c r="O18" s="75">
        <f t="shared" si="4"/>
        <v>1330.1955628613136</v>
      </c>
      <c r="P18" s="75">
        <f t="shared" si="4"/>
        <v>1291.4520027779745</v>
      </c>
      <c r="Q18" s="75">
        <f t="shared" si="4"/>
        <v>1253.836895900946</v>
      </c>
      <c r="R18" s="75">
        <f t="shared" si="4"/>
        <v>1217.3173746611126</v>
      </c>
      <c r="S18" s="75">
        <f t="shared" si="4"/>
        <v>1181.8615287971966</v>
      </c>
      <c r="T18" s="75">
        <f t="shared" si="4"/>
        <v>1147.4383774730065</v>
      </c>
      <c r="U18" s="75">
        <f t="shared" si="4"/>
        <v>1114.0178422068025</v>
      </c>
      <c r="V18" s="75">
        <f t="shared" si="4"/>
        <v>1081.5707205891285</v>
      </c>
      <c r="W18" s="75">
        <f t="shared" si="4"/>
        <v>1050.0686607661441</v>
      </c>
    </row>
    <row r="19" spans="1:24" x14ac:dyDescent="0.25">
      <c r="A19" s="18" t="str">
        <v>Proxy - Call session control function hardware</v>
      </c>
      <c r="B19" s="205" t="s">
        <v>444</v>
      </c>
      <c r="C19" s="18"/>
      <c r="D19" s="174">
        <v>0</v>
      </c>
      <c r="E19" s="75">
        <f>$D19*E$5</f>
        <v>0</v>
      </c>
      <c r="F19" s="75">
        <f t="shared" si="4"/>
        <v>0</v>
      </c>
      <c r="G19" s="75">
        <f t="shared" si="4"/>
        <v>0</v>
      </c>
      <c r="H19" s="75">
        <f t="shared" si="4"/>
        <v>0</v>
      </c>
      <c r="I19" s="75">
        <f t="shared" si="4"/>
        <v>0</v>
      </c>
      <c r="J19" s="75">
        <f t="shared" si="4"/>
        <v>0</v>
      </c>
      <c r="K19" s="75">
        <f t="shared" si="4"/>
        <v>0</v>
      </c>
      <c r="L19" s="75">
        <f t="shared" si="4"/>
        <v>0</v>
      </c>
      <c r="M19" s="75">
        <f t="shared" si="4"/>
        <v>0</v>
      </c>
      <c r="N19" s="75">
        <f t="shared" si="4"/>
        <v>0</v>
      </c>
      <c r="O19" s="75">
        <f t="shared" si="4"/>
        <v>0</v>
      </c>
      <c r="P19" s="75">
        <f t="shared" si="4"/>
        <v>0</v>
      </c>
      <c r="Q19" s="75">
        <f t="shared" si="4"/>
        <v>0</v>
      </c>
      <c r="R19" s="75">
        <f t="shared" si="4"/>
        <v>0</v>
      </c>
      <c r="S19" s="75">
        <f t="shared" si="4"/>
        <v>0</v>
      </c>
      <c r="T19" s="75">
        <f t="shared" si="4"/>
        <v>0</v>
      </c>
      <c r="U19" s="75">
        <f t="shared" si="4"/>
        <v>0</v>
      </c>
      <c r="V19" s="75">
        <f t="shared" si="4"/>
        <v>0</v>
      </c>
      <c r="W19" s="75">
        <f t="shared" si="4"/>
        <v>0</v>
      </c>
    </row>
    <row r="20" spans="1:24" x14ac:dyDescent="0.25">
      <c r="A20" s="18" t="str">
        <v>Proxy - Call session control function software</v>
      </c>
      <c r="B20" s="205" t="s">
        <v>444</v>
      </c>
      <c r="C20" s="18"/>
      <c r="D20" s="174">
        <v>0</v>
      </c>
      <c r="E20" s="75">
        <f t="shared" si="5"/>
        <v>0</v>
      </c>
      <c r="F20" s="75">
        <f t="shared" si="4"/>
        <v>0</v>
      </c>
      <c r="G20" s="75">
        <f t="shared" si="4"/>
        <v>0</v>
      </c>
      <c r="H20" s="75">
        <f t="shared" si="4"/>
        <v>0</v>
      </c>
      <c r="I20" s="75">
        <f t="shared" si="4"/>
        <v>0</v>
      </c>
      <c r="J20" s="75">
        <f t="shared" si="4"/>
        <v>0</v>
      </c>
      <c r="K20" s="75">
        <f t="shared" si="4"/>
        <v>0</v>
      </c>
      <c r="L20" s="75">
        <f t="shared" si="4"/>
        <v>0</v>
      </c>
      <c r="M20" s="75">
        <f t="shared" si="4"/>
        <v>0</v>
      </c>
      <c r="N20" s="75">
        <f t="shared" si="4"/>
        <v>0</v>
      </c>
      <c r="O20" s="75">
        <f t="shared" si="4"/>
        <v>0</v>
      </c>
      <c r="P20" s="75">
        <f t="shared" si="4"/>
        <v>0</v>
      </c>
      <c r="Q20" s="75">
        <f t="shared" si="4"/>
        <v>0</v>
      </c>
      <c r="R20" s="75">
        <f t="shared" si="4"/>
        <v>0</v>
      </c>
      <c r="S20" s="75">
        <f t="shared" si="4"/>
        <v>0</v>
      </c>
      <c r="T20" s="75">
        <f t="shared" si="4"/>
        <v>0</v>
      </c>
      <c r="U20" s="75">
        <f t="shared" si="4"/>
        <v>0</v>
      </c>
      <c r="V20" s="75">
        <f t="shared" si="4"/>
        <v>0</v>
      </c>
      <c r="W20" s="75">
        <f t="shared" si="4"/>
        <v>0</v>
      </c>
    </row>
    <row r="21" spans="1:24" x14ac:dyDescent="0.25">
      <c r="A21" s="18" t="str">
        <v>Interrogating - Call session control function hardware</v>
      </c>
      <c r="B21" s="18"/>
      <c r="C21" s="18"/>
      <c r="D21" s="174">
        <v>303382.22142253147</v>
      </c>
      <c r="E21" s="75">
        <f t="shared" si="5"/>
        <v>294545.84604129271</v>
      </c>
      <c r="F21" s="75">
        <f t="shared" si="4"/>
        <v>285966.84081678902</v>
      </c>
      <c r="G21" s="75">
        <f t="shared" si="4"/>
        <v>277637.7095308631</v>
      </c>
      <c r="H21" s="75">
        <f t="shared" si="4"/>
        <v>269551.17430180882</v>
      </c>
      <c r="I21" s="75">
        <f t="shared" si="4"/>
        <v>261700.16922505712</v>
      </c>
      <c r="J21" s="75">
        <f t="shared" si="4"/>
        <v>254077.83419908455</v>
      </c>
      <c r="K21" s="75">
        <f t="shared" si="4"/>
        <v>246677.50893115005</v>
      </c>
      <c r="L21" s="75">
        <f t="shared" si="4"/>
        <v>239492.7271176214</v>
      </c>
      <c r="M21" s="75">
        <f t="shared" si="4"/>
        <v>232517.2107938072</v>
      </c>
      <c r="N21" s="75">
        <f t="shared" si="4"/>
        <v>225744.86484835649</v>
      </c>
      <c r="O21" s="75">
        <f t="shared" si="4"/>
        <v>219169.77169743349</v>
      </c>
      <c r="P21" s="75">
        <f t="shared" si="4"/>
        <v>212786.18611401311</v>
      </c>
      <c r="Q21" s="75">
        <f t="shared" si="4"/>
        <v>206588.5302077797</v>
      </c>
      <c r="R21" s="75">
        <f t="shared" si="4"/>
        <v>200571.38855124245</v>
      </c>
      <c r="S21" s="75">
        <f t="shared" si="4"/>
        <v>194729.50344780818</v>
      </c>
      <c r="T21" s="75">
        <f t="shared" si="4"/>
        <v>189057.77033767785</v>
      </c>
      <c r="U21" s="75">
        <f t="shared" si="4"/>
        <v>183551.2333375513</v>
      </c>
      <c r="V21" s="75">
        <f t="shared" si="4"/>
        <v>178205.08091024397</v>
      </c>
      <c r="W21" s="75">
        <f t="shared" si="4"/>
        <v>173014.64166043105</v>
      </c>
    </row>
    <row r="22" spans="1:24" x14ac:dyDescent="0.25">
      <c r="A22" s="18" t="str">
        <v>Interrogating - Call session control function software</v>
      </c>
      <c r="B22" s="18"/>
      <c r="C22" s="18"/>
      <c r="D22" s="174">
        <v>885507.20722474821</v>
      </c>
      <c r="E22" s="75">
        <f t="shared" si="5"/>
        <v>859715.73516965844</v>
      </c>
      <c r="F22" s="75">
        <f t="shared" si="4"/>
        <v>834675.47103850334</v>
      </c>
      <c r="G22" s="75">
        <f t="shared" si="4"/>
        <v>810364.53498883813</v>
      </c>
      <c r="H22" s="75">
        <f t="shared" si="4"/>
        <v>786761.68445518264</v>
      </c>
      <c r="I22" s="75">
        <f t="shared" si="4"/>
        <v>763846.29558755597</v>
      </c>
      <c r="J22" s="75">
        <f t="shared" si="4"/>
        <v>741598.34523063689</v>
      </c>
      <c r="K22" s="75">
        <f t="shared" si="4"/>
        <v>719998.39342780272</v>
      </c>
      <c r="L22" s="75">
        <f t="shared" si="4"/>
        <v>699027.56643475988</v>
      </c>
      <c r="M22" s="75">
        <f t="shared" si="4"/>
        <v>678667.54022792226</v>
      </c>
      <c r="N22" s="75">
        <f t="shared" si="4"/>
        <v>658900.52449312841</v>
      </c>
      <c r="O22" s="75">
        <f t="shared" si="4"/>
        <v>639709.24708070722</v>
      </c>
      <c r="P22" s="75">
        <f t="shared" si="4"/>
        <v>621076.93891330797</v>
      </c>
      <c r="Q22" s="75">
        <f t="shared" si="4"/>
        <v>602987.31933330873</v>
      </c>
      <c r="R22" s="75">
        <f t="shared" si="4"/>
        <v>585424.58187699877</v>
      </c>
      <c r="S22" s="75">
        <f t="shared" si="4"/>
        <v>568373.38046310551</v>
      </c>
      <c r="T22" s="75">
        <f t="shared" si="4"/>
        <v>551818.81598359754</v>
      </c>
      <c r="U22" s="75">
        <f t="shared" si="4"/>
        <v>535746.42328504613</v>
      </c>
      <c r="V22" s="75">
        <f t="shared" si="4"/>
        <v>520142.15852917102</v>
      </c>
      <c r="W22" s="75">
        <f t="shared" si="4"/>
        <v>504992.38692152529</v>
      </c>
    </row>
    <row r="23" spans="1:24" x14ac:dyDescent="0.25">
      <c r="A23" s="18" t="str">
        <v>Serving - Call session control function hardware</v>
      </c>
      <c r="B23" s="18"/>
      <c r="C23" s="18"/>
      <c r="D23" s="174">
        <v>479604.31773767929</v>
      </c>
      <c r="E23" s="75">
        <f t="shared" si="5"/>
        <v>465635.25993949448</v>
      </c>
      <c r="F23" s="75">
        <f t="shared" si="4"/>
        <v>452073.06790242181</v>
      </c>
      <c r="G23" s="75">
        <f t="shared" si="4"/>
        <v>438905.89116739976</v>
      </c>
      <c r="H23" s="75">
        <f t="shared" si="4"/>
        <v>426122.22443436866</v>
      </c>
      <c r="I23" s="75">
        <f t="shared" si="4"/>
        <v>413710.89750909584</v>
      </c>
      <c r="J23" s="75">
        <f t="shared" si="4"/>
        <v>401661.06554281147</v>
      </c>
      <c r="K23" s="75">
        <f t="shared" si="4"/>
        <v>389962.1995561276</v>
      </c>
      <c r="L23" s="75">
        <f t="shared" si="4"/>
        <v>378604.07723895885</v>
      </c>
      <c r="M23" s="75">
        <f t="shared" si="4"/>
        <v>367576.77401840664</v>
      </c>
      <c r="N23" s="75">
        <f t="shared" si="4"/>
        <v>356870.65438680258</v>
      </c>
      <c r="O23" s="75">
        <f t="shared" si="4"/>
        <v>346476.36348233261</v>
      </c>
      <c r="P23" s="75">
        <f t="shared" si="4"/>
        <v>336384.81891488604</v>
      </c>
      <c r="Q23" s="75">
        <f t="shared" si="4"/>
        <v>326587.2028299864</v>
      </c>
      <c r="R23" s="75">
        <f t="shared" si="4"/>
        <v>317074.95420387032</v>
      </c>
      <c r="S23" s="75">
        <f t="shared" si="4"/>
        <v>307839.76136298088</v>
      </c>
      <c r="T23" s="75">
        <f t="shared" si="4"/>
        <v>298873.55472134065</v>
      </c>
      <c r="U23" s="75">
        <f t="shared" si="4"/>
        <v>290168.4997294569</v>
      </c>
      <c r="V23" s="75">
        <f t="shared" si="4"/>
        <v>281716.99002859893</v>
      </c>
      <c r="W23" s="75">
        <f t="shared" si="4"/>
        <v>273511.64080446499</v>
      </c>
    </row>
    <row r="24" spans="1:24" x14ac:dyDescent="0.25">
      <c r="A24" s="18" t="str">
        <v>Serving - Call session control function software</v>
      </c>
      <c r="B24" s="18"/>
      <c r="C24" s="18"/>
      <c r="D24" s="174">
        <v>1265548.4513774689</v>
      </c>
      <c r="E24" s="75">
        <f t="shared" si="5"/>
        <v>1228687.816871329</v>
      </c>
      <c r="F24" s="75">
        <f t="shared" si="4"/>
        <v>1192900.7930789602</v>
      </c>
      <c r="G24" s="75">
        <f t="shared" si="4"/>
        <v>1158156.1097853982</v>
      </c>
      <c r="H24" s="75">
        <f t="shared" si="4"/>
        <v>1124423.4075586388</v>
      </c>
      <c r="I24" s="75">
        <f t="shared" si="4"/>
        <v>1091673.2112219795</v>
      </c>
      <c r="J24" s="75">
        <f t="shared" si="4"/>
        <v>1059876.9040990092</v>
      </c>
      <c r="K24" s="75">
        <f t="shared" si="4"/>
        <v>1029006.7030087467</v>
      </c>
      <c r="L24" s="75">
        <f t="shared" si="4"/>
        <v>999035.6339890745</v>
      </c>
      <c r="M24" s="75">
        <f t="shared" si="4"/>
        <v>969937.50872725691</v>
      </c>
      <c r="N24" s="75">
        <f t="shared" si="4"/>
        <v>941686.90167694842</v>
      </c>
      <c r="O24" s="75">
        <f t="shared" si="4"/>
        <v>914259.12784169742</v>
      </c>
      <c r="P24" s="75">
        <f t="shared" si="4"/>
        <v>887630.2212055315</v>
      </c>
      <c r="Q24" s="75">
        <f t="shared" si="4"/>
        <v>861776.91379177815</v>
      </c>
      <c r="R24" s="75">
        <f t="shared" si="4"/>
        <v>836676.61533182347</v>
      </c>
      <c r="S24" s="75">
        <f t="shared" si="4"/>
        <v>812307.39352604211</v>
      </c>
      <c r="T24" s="75">
        <f t="shared" si="4"/>
        <v>788647.95487965259</v>
      </c>
      <c r="U24" s="75">
        <f t="shared" si="4"/>
        <v>765677.62609675003</v>
      </c>
      <c r="V24" s="75">
        <f t="shared" si="4"/>
        <v>743376.33601626218</v>
      </c>
      <c r="W24" s="75">
        <f t="shared" si="4"/>
        <v>721724.59807404096</v>
      </c>
    </row>
    <row r="25" spans="1:24" x14ac:dyDescent="0.25">
      <c r="A25" s="18" t="str">
        <v>Media resource function - hardware</v>
      </c>
      <c r="B25" s="18"/>
      <c r="C25" s="18"/>
      <c r="D25" s="174">
        <v>104179.76816251123</v>
      </c>
      <c r="E25" s="75">
        <f t="shared" si="5"/>
        <v>101145.40598302061</v>
      </c>
      <c r="F25" s="75">
        <f t="shared" si="4"/>
        <v>98199.423284486023</v>
      </c>
      <c r="G25" s="75">
        <f t="shared" si="4"/>
        <v>95339.245907267978</v>
      </c>
      <c r="H25" s="75">
        <f t="shared" si="4"/>
        <v>92562.374667250464</v>
      </c>
      <c r="I25" s="75">
        <f t="shared" si="4"/>
        <v>89866.383172087837</v>
      </c>
      <c r="J25" s="75">
        <f t="shared" si="4"/>
        <v>87248.915701056147</v>
      </c>
      <c r="K25" s="75">
        <f t="shared" si="4"/>
        <v>84707.68514665644</v>
      </c>
      <c r="L25" s="75">
        <f t="shared" si="4"/>
        <v>82240.471016171301</v>
      </c>
      <c r="M25" s="75">
        <f t="shared" si="4"/>
        <v>79845.117491428449</v>
      </c>
      <c r="N25" s="75">
        <f t="shared" si="4"/>
        <v>77519.53154507617</v>
      </c>
      <c r="O25" s="75">
        <f t="shared" si="4"/>
        <v>75261.681111724436</v>
      </c>
      <c r="P25" s="75">
        <f t="shared" si="4"/>
        <v>73069.593312353827</v>
      </c>
      <c r="Q25" s="75">
        <f t="shared" si="4"/>
        <v>70941.352730440602</v>
      </c>
      <c r="R25" s="75">
        <f t="shared" si="4"/>
        <v>68875.099738291843</v>
      </c>
      <c r="S25" s="75">
        <f t="shared" si="4"/>
        <v>66869.028872127994</v>
      </c>
      <c r="T25" s="75">
        <f t="shared" si="4"/>
        <v>64921.387254493202</v>
      </c>
      <c r="U25" s="75">
        <f t="shared" si="4"/>
        <v>63030.473062614765</v>
      </c>
      <c r="V25" s="75">
        <f t="shared" si="4"/>
        <v>61194.634041373552</v>
      </c>
      <c r="W25" s="75">
        <f t="shared" si="4"/>
        <v>59412.266059585971</v>
      </c>
    </row>
    <row r="26" spans="1:24" x14ac:dyDescent="0.25">
      <c r="A26" s="18" t="str">
        <v>Media resource function - software</v>
      </c>
      <c r="B26" s="18"/>
      <c r="C26" s="18"/>
      <c r="D26" s="174">
        <v>34257.800094752856</v>
      </c>
      <c r="E26" s="75">
        <f t="shared" si="5"/>
        <v>33260.000091993068</v>
      </c>
      <c r="F26" s="75">
        <f t="shared" si="4"/>
        <v>32291.262225235983</v>
      </c>
      <c r="G26" s="75">
        <f t="shared" si="4"/>
        <v>31350.740024500952</v>
      </c>
      <c r="H26" s="75">
        <f t="shared" si="4"/>
        <v>30437.611674272768</v>
      </c>
      <c r="I26" s="75">
        <f t="shared" si="4"/>
        <v>29551.079295410455</v>
      </c>
      <c r="J26" s="75">
        <f t="shared" si="4"/>
        <v>28690.368247971313</v>
      </c>
      <c r="K26" s="75">
        <f t="shared" si="4"/>
        <v>27854.726454341082</v>
      </c>
      <c r="L26" s="75">
        <f t="shared" si="4"/>
        <v>27043.423742078718</v>
      </c>
      <c r="M26" s="75">
        <f t="shared" si="4"/>
        <v>26255.75120590167</v>
      </c>
      <c r="N26" s="75">
        <f t="shared" si="4"/>
        <v>25491.020588254047</v>
      </c>
      <c r="O26" s="75">
        <f t="shared" si="4"/>
        <v>24748.563677916551</v>
      </c>
      <c r="P26" s="75">
        <f t="shared" si="4"/>
        <v>24027.731726132573</v>
      </c>
      <c r="Q26" s="75">
        <f t="shared" si="4"/>
        <v>23327.894879740365</v>
      </c>
      <c r="R26" s="75">
        <f t="shared" si="4"/>
        <v>22648.441630815887</v>
      </c>
      <c r="S26" s="75">
        <f t="shared" si="4"/>
        <v>21988.77828234552</v>
      </c>
      <c r="T26" s="75">
        <f t="shared" si="4"/>
        <v>21348.328429461668</v>
      </c>
      <c r="U26" s="75">
        <f t="shared" si="4"/>
        <v>20726.532455788027</v>
      </c>
      <c r="V26" s="75">
        <f t="shared" si="4"/>
        <v>20122.847044454396</v>
      </c>
      <c r="W26" s="75">
        <f t="shared" si="4"/>
        <v>19536.744703353783</v>
      </c>
      <c r="X26" s="16"/>
    </row>
    <row r="27" spans="1:24" x14ac:dyDescent="0.25">
      <c r="A27" s="18" t="str">
        <v>Access session border controller - hardware</v>
      </c>
      <c r="B27" s="18"/>
      <c r="C27" s="18"/>
      <c r="D27" s="174">
        <v>379569.62540275085</v>
      </c>
      <c r="E27" s="75">
        <f t="shared" si="5"/>
        <v>368514.19942014647</v>
      </c>
      <c r="F27" s="75">
        <f t="shared" si="4"/>
        <v>357780.77613606449</v>
      </c>
      <c r="G27" s="75">
        <f t="shared" si="4"/>
        <v>347359.97683113057</v>
      </c>
      <c r="H27" s="75">
        <f t="shared" si="4"/>
        <v>337242.69595255394</v>
      </c>
      <c r="I27" s="75">
        <f t="shared" si="4"/>
        <v>327420.09315781936</v>
      </c>
      <c r="J27" s="75">
        <f t="shared" si="4"/>
        <v>317883.58559011586</v>
      </c>
      <c r="K27" s="75">
        <f t="shared" si="4"/>
        <v>308624.84037875326</v>
      </c>
      <c r="L27" s="75">
        <f t="shared" si="4"/>
        <v>299635.76735801285</v>
      </c>
      <c r="M27" s="75">
        <f t="shared" si="4"/>
        <v>290908.51199807075</v>
      </c>
      <c r="N27" s="75">
        <f t="shared" si="4"/>
        <v>282435.44854181627</v>
      </c>
      <c r="O27" s="75">
        <f t="shared" si="4"/>
        <v>274209.1733415692</v>
      </c>
      <c r="P27" s="75">
        <f t="shared" si="4"/>
        <v>266222.49838987301</v>
      </c>
      <c r="Q27" s="75">
        <f t="shared" si="4"/>
        <v>258468.44503871165</v>
      </c>
      <c r="R27" s="75">
        <f t="shared" si="4"/>
        <v>250940.23790166181</v>
      </c>
      <c r="S27" s="75">
        <f t="shared" si="4"/>
        <v>243631.2989336522</v>
      </c>
      <c r="T27" s="75">
        <f t="shared" si="4"/>
        <v>236535.24168315748</v>
      </c>
      <c r="U27" s="75">
        <f t="shared" si="4"/>
        <v>229645.86571180337</v>
      </c>
      <c r="V27" s="75">
        <f t="shared" si="4"/>
        <v>222957.15117650814</v>
      </c>
      <c r="W27" s="75">
        <f t="shared" si="4"/>
        <v>216463.25356942537</v>
      </c>
      <c r="X27" s="16"/>
    </row>
    <row r="28" spans="1:24" x14ac:dyDescent="0.25">
      <c r="A28" s="18" t="str">
        <v>Access session border controller - software</v>
      </c>
      <c r="B28" s="18"/>
      <c r="C28" s="18"/>
      <c r="D28" s="174">
        <v>264274.4578738077</v>
      </c>
      <c r="E28" s="75">
        <f t="shared" si="5"/>
        <v>256577.1435668036</v>
      </c>
      <c r="F28" s="75">
        <f t="shared" si="4"/>
        <v>249104.02288039183</v>
      </c>
      <c r="G28" s="75">
        <f t="shared" si="4"/>
        <v>241848.56590329303</v>
      </c>
      <c r="H28" s="75">
        <f t="shared" si="4"/>
        <v>234804.43291581844</v>
      </c>
      <c r="I28" s="75">
        <f t="shared" si="4"/>
        <v>227965.46885030917</v>
      </c>
      <c r="J28" s="75">
        <f t="shared" si="4"/>
        <v>221325.69791292152</v>
      </c>
      <c r="K28" s="75">
        <f t="shared" si="4"/>
        <v>214879.31836205971</v>
      </c>
      <c r="L28" s="75">
        <f t="shared" si="4"/>
        <v>208620.69743889294</v>
      </c>
      <c r="M28" s="75">
        <f t="shared" si="4"/>
        <v>202544.36644552712</v>
      </c>
      <c r="N28" s="75">
        <f t="shared" si="4"/>
        <v>196645.01596653118</v>
      </c>
      <c r="O28" s="75">
        <f t="shared" si="4"/>
        <v>190917.49122964192</v>
      </c>
      <c r="P28" s="75">
        <f t="shared" si="4"/>
        <v>185356.78760159411</v>
      </c>
      <c r="Q28" s="75">
        <f t="shared" si="4"/>
        <v>179958.04621513991</v>
      </c>
      <c r="R28" s="75">
        <f t="shared" si="4"/>
        <v>174716.54972343679</v>
      </c>
      <c r="S28" s="75">
        <f t="shared" si="4"/>
        <v>169627.71817809396</v>
      </c>
      <c r="T28" s="75">
        <f t="shared" si="4"/>
        <v>164687.10502727571</v>
      </c>
      <c r="U28" s="75">
        <f t="shared" si="4"/>
        <v>159890.39323036475</v>
      </c>
      <c r="V28" s="75">
        <f t="shared" si="4"/>
        <v>155233.39148579101</v>
      </c>
      <c r="W28" s="75">
        <f t="shared" si="4"/>
        <v>150712.03056872915</v>
      </c>
      <c r="X28" s="16"/>
    </row>
    <row r="29" spans="1:24" x14ac:dyDescent="0.25">
      <c r="A29" s="18" t="str">
        <v>Internet exchange point session border controller - hardware</v>
      </c>
      <c r="B29" s="18"/>
      <c r="C29" s="18"/>
      <c r="D29" s="174">
        <v>471108.39416869788</v>
      </c>
      <c r="E29" s="75">
        <f t="shared" si="5"/>
        <v>457386.79045504652</v>
      </c>
      <c r="F29" s="75">
        <f t="shared" si="4"/>
        <v>444064.8451019869</v>
      </c>
      <c r="G29" s="75">
        <f t="shared" si="4"/>
        <v>431130.9175747445</v>
      </c>
      <c r="H29" s="75">
        <f t="shared" si="4"/>
        <v>418573.70638324704</v>
      </c>
      <c r="I29" s="75">
        <f t="shared" ref="I29:W30" si="6">$D29*I$5</f>
        <v>406382.23920703598</v>
      </c>
      <c r="J29" s="75">
        <f t="shared" si="6"/>
        <v>394545.86330780195</v>
      </c>
      <c r="K29" s="75">
        <f t="shared" si="6"/>
        <v>383054.23622116691</v>
      </c>
      <c r="L29" s="75">
        <f t="shared" si="6"/>
        <v>371897.31671957951</v>
      </c>
      <c r="M29" s="75">
        <f t="shared" si="6"/>
        <v>361065.35603842675</v>
      </c>
      <c r="N29" s="75">
        <f t="shared" si="6"/>
        <v>350548.88935769582</v>
      </c>
      <c r="O29" s="75">
        <f t="shared" si="6"/>
        <v>340338.72753174353</v>
      </c>
      <c r="P29" s="75">
        <f t="shared" si="6"/>
        <v>330425.94905994518</v>
      </c>
      <c r="Q29" s="75">
        <f t="shared" si="6"/>
        <v>320801.8922912089</v>
      </c>
      <c r="R29" s="75">
        <f t="shared" si="6"/>
        <v>311458.1478555426</v>
      </c>
      <c r="S29" s="75">
        <f t="shared" si="6"/>
        <v>302386.55131606077</v>
      </c>
      <c r="T29" s="75">
        <f t="shared" si="6"/>
        <v>293579.17603501049</v>
      </c>
      <c r="U29" s="75">
        <f t="shared" si="6"/>
        <v>285028.32624758297</v>
      </c>
      <c r="V29" s="75">
        <f t="shared" si="6"/>
        <v>276726.53033745917</v>
      </c>
      <c r="W29" s="75">
        <f t="shared" si="6"/>
        <v>268666.53430821281</v>
      </c>
    </row>
    <row r="30" spans="1:24" x14ac:dyDescent="0.25">
      <c r="A30" s="18" t="str">
        <v>Internet exchange point session border controller - software</v>
      </c>
      <c r="B30" s="18"/>
      <c r="C30" s="18"/>
      <c r="D30" s="174">
        <v>984763.47530009458</v>
      </c>
      <c r="E30" s="75">
        <f t="shared" si="5"/>
        <v>956081.04398067435</v>
      </c>
      <c r="F30" s="75">
        <f t="shared" ref="F30:H30" si="7">$D30*F$5</f>
        <v>928234.02328220813</v>
      </c>
      <c r="G30" s="75">
        <f t="shared" si="7"/>
        <v>901198.08085651265</v>
      </c>
      <c r="H30" s="75">
        <f t="shared" si="7"/>
        <v>874949.59306457534</v>
      </c>
      <c r="I30" s="75">
        <f t="shared" si="6"/>
        <v>849465.62433453917</v>
      </c>
      <c r="J30" s="75">
        <f t="shared" si="6"/>
        <v>824723.90712091175</v>
      </c>
      <c r="K30" s="75">
        <f t="shared" si="6"/>
        <v>800702.82244748715</v>
      </c>
      <c r="L30" s="75">
        <f t="shared" si="6"/>
        <v>777381.38101697783</v>
      </c>
      <c r="M30" s="75">
        <f t="shared" si="6"/>
        <v>754739.20487085229</v>
      </c>
      <c r="N30" s="75">
        <f t="shared" si="6"/>
        <v>732756.50958335167</v>
      </c>
      <c r="O30" s="75">
        <f t="shared" si="6"/>
        <v>711414.0869741278</v>
      </c>
      <c r="P30" s="75">
        <f t="shared" si="6"/>
        <v>690693.28832439601</v>
      </c>
      <c r="Q30" s="75">
        <f t="shared" si="6"/>
        <v>670576.00808193779</v>
      </c>
      <c r="R30" s="75">
        <f t="shared" si="6"/>
        <v>651044.66804071632</v>
      </c>
      <c r="S30" s="75">
        <f t="shared" si="6"/>
        <v>632082.2019812779</v>
      </c>
      <c r="T30" s="75">
        <f t="shared" si="6"/>
        <v>613672.04075852234</v>
      </c>
      <c r="U30" s="75">
        <f t="shared" si="6"/>
        <v>595798.09782380809</v>
      </c>
      <c r="V30" s="75">
        <f t="shared" si="6"/>
        <v>578444.75516874564</v>
      </c>
      <c r="W30" s="75">
        <f t="shared" si="6"/>
        <v>561596.8496783938</v>
      </c>
      <c r="X30" s="6" t="s">
        <v>268</v>
      </c>
    </row>
    <row r="31" spans="1:24" x14ac:dyDescent="0.25">
      <c r="D31" s="85"/>
      <c r="E31" s="24"/>
    </row>
    <row r="32" spans="1:24" x14ac:dyDescent="0.25">
      <c r="A32" s="15" t="s">
        <v>397</v>
      </c>
      <c r="B32" s="18"/>
      <c r="C32" s="18"/>
      <c r="D32" s="17">
        <f>SUM(D15:D30)</f>
        <v>9536813.5450878832</v>
      </c>
      <c r="E32" s="17">
        <f t="shared" ref="E32:W32" si="8">SUM(E15:E30)</f>
        <v>9259042.2767843548</v>
      </c>
      <c r="F32" s="17">
        <f t="shared" si="8"/>
        <v>8989361.4337712191</v>
      </c>
      <c r="G32" s="17">
        <f t="shared" si="8"/>
        <v>8727535.372593414</v>
      </c>
      <c r="H32" s="17">
        <f t="shared" si="8"/>
        <v>8473335.313197488</v>
      </c>
      <c r="I32" s="17">
        <f t="shared" si="8"/>
        <v>8226539.1390266903</v>
      </c>
      <c r="J32" s="17">
        <f t="shared" si="8"/>
        <v>7986931.2029385315</v>
      </c>
      <c r="K32" s="17">
        <f t="shared" si="8"/>
        <v>7754302.1387752742</v>
      </c>
      <c r="L32" s="17">
        <f t="shared" si="8"/>
        <v>7528448.6784225972</v>
      </c>
      <c r="M32" s="17">
        <f t="shared" si="8"/>
        <v>7309173.4741966976</v>
      </c>
      <c r="N32" s="17">
        <f t="shared" si="8"/>
        <v>7096284.9264045581</v>
      </c>
      <c r="O32" s="17">
        <f t="shared" si="8"/>
        <v>6889597.015926756</v>
      </c>
      <c r="P32" s="17">
        <f t="shared" si="8"/>
        <v>6688929.1416764632</v>
      </c>
      <c r="Q32" s="17">
        <f t="shared" si="8"/>
        <v>6494105.9627926825</v>
      </c>
      <c r="R32" s="17">
        <f t="shared" si="8"/>
        <v>6304957.2454297878</v>
      </c>
      <c r="S32" s="17">
        <f t="shared" si="8"/>
        <v>6121317.7140095029</v>
      </c>
      <c r="T32" s="17">
        <f t="shared" si="8"/>
        <v>5943026.9068053421</v>
      </c>
      <c r="U32" s="17">
        <f t="shared" si="8"/>
        <v>5769929.0357333422</v>
      </c>
      <c r="V32" s="17">
        <f t="shared" si="8"/>
        <v>5601872.8502265457</v>
      </c>
      <c r="W32" s="17">
        <f t="shared" si="8"/>
        <v>5438711.5050743148</v>
      </c>
      <c r="X32" s="16" t="s">
        <v>399</v>
      </c>
    </row>
    <row r="33" spans="1:23" x14ac:dyDescent="0.25">
      <c r="D33" s="85"/>
      <c r="E33" s="24"/>
    </row>
    <row r="34" spans="1:23" x14ac:dyDescent="0.25">
      <c r="C34"/>
    </row>
    <row r="35" spans="1:23" x14ac:dyDescent="0.25">
      <c r="A35" s="49" t="s">
        <v>269</v>
      </c>
      <c r="B35" s="50"/>
      <c r="C35" s="50"/>
      <c r="D35" s="50"/>
      <c r="E35" s="50"/>
      <c r="F35" s="50"/>
      <c r="G35" s="50"/>
      <c r="H35" s="50"/>
      <c r="I35" s="50"/>
      <c r="J35" s="50"/>
      <c r="K35" s="50"/>
      <c r="L35" s="50"/>
      <c r="M35" s="50"/>
      <c r="N35" s="50"/>
      <c r="O35" s="50"/>
      <c r="P35" s="50"/>
      <c r="Q35" s="50"/>
      <c r="R35" s="50"/>
      <c r="S35" s="50"/>
      <c r="T35" s="50"/>
      <c r="U35" s="50"/>
      <c r="V35" s="50"/>
      <c r="W35" s="50"/>
    </row>
    <row r="37" spans="1:23" x14ac:dyDescent="0.25">
      <c r="A37" s="201"/>
      <c r="B37" s="202"/>
      <c r="C37" s="201"/>
      <c r="D37" s="53" cm="1">
        <f t="array" ref="D37:W37">years</f>
        <v>2018</v>
      </c>
      <c r="E37" s="53">
        <v>2019</v>
      </c>
      <c r="F37" s="53">
        <v>2020</v>
      </c>
      <c r="G37" s="53">
        <v>2021</v>
      </c>
      <c r="H37" s="53">
        <v>2022</v>
      </c>
      <c r="I37" s="53">
        <v>2023</v>
      </c>
      <c r="J37" s="53">
        <v>2024</v>
      </c>
      <c r="K37" s="53">
        <v>2025</v>
      </c>
      <c r="L37" s="53">
        <v>2026</v>
      </c>
      <c r="M37" s="53">
        <v>2027</v>
      </c>
      <c r="N37" s="53">
        <v>2028</v>
      </c>
      <c r="O37" s="53">
        <v>2029</v>
      </c>
      <c r="P37" s="53">
        <v>2030</v>
      </c>
      <c r="Q37" s="53">
        <v>2031</v>
      </c>
      <c r="R37" s="53">
        <v>2032</v>
      </c>
      <c r="S37" s="53">
        <v>2033</v>
      </c>
      <c r="T37" s="53">
        <v>2034</v>
      </c>
      <c r="U37" s="53">
        <v>2035</v>
      </c>
      <c r="V37" s="53">
        <v>2036</v>
      </c>
      <c r="W37" s="53">
        <v>2037</v>
      </c>
    </row>
    <row r="38" spans="1:23" x14ac:dyDescent="0.25">
      <c r="A38" s="7" t="str" cm="1">
        <f t="array" ref="A38:A53">core_elements</f>
        <v>Application server hardware</v>
      </c>
      <c r="B38" s="95"/>
      <c r="C38" s="18"/>
      <c r="D38" s="176" cm="1">
        <f t="array" ref="D38:W53">$C$10*unit_costs_core_capex</f>
        <v>83423.883058728796</v>
      </c>
      <c r="E38" s="176">
        <v>80994.061222066797</v>
      </c>
      <c r="F38" s="176">
        <v>78635.010895210478</v>
      </c>
      <c r="G38" s="176">
        <v>76344.670772049009</v>
      </c>
      <c r="H38" s="176">
        <v>74121.039584513594</v>
      </c>
      <c r="I38" s="176">
        <v>71962.174353896698</v>
      </c>
      <c r="J38" s="176">
        <v>69866.188693103584</v>
      </c>
      <c r="K38" s="177">
        <v>67831.251158352985</v>
      </c>
      <c r="L38" s="177">
        <v>65855.583648886401</v>
      </c>
      <c r="M38" s="177">
        <v>63937.459853287772</v>
      </c>
      <c r="N38" s="177">
        <v>62075.203741056081</v>
      </c>
      <c r="O38" s="177">
        <v>60267.188098112703</v>
      </c>
      <c r="P38" s="177">
        <v>58511.833104963785</v>
      </c>
      <c r="Q38" s="177">
        <v>56807.604956275522</v>
      </c>
      <c r="R38" s="177">
        <v>55153.014520655845</v>
      </c>
      <c r="S38" s="177">
        <v>53546.616039471694</v>
      </c>
      <c r="T38" s="177">
        <v>51987.005863564751</v>
      </c>
      <c r="U38" s="177">
        <v>50472.821226761895</v>
      </c>
      <c r="V38" s="177">
        <v>49002.739055108636</v>
      </c>
      <c r="W38" s="177">
        <v>47575.474810785076</v>
      </c>
    </row>
    <row r="39" spans="1:23" x14ac:dyDescent="0.25">
      <c r="A39" s="7" t="str">
        <v>Application server software</v>
      </c>
      <c r="B39" s="95"/>
      <c r="C39" s="18"/>
      <c r="D39" s="176">
        <v>141888.19492709867</v>
      </c>
      <c r="E39" s="176">
        <v>137755.52905543559</v>
      </c>
      <c r="F39" s="176">
        <v>133743.2320926559</v>
      </c>
      <c r="G39" s="176">
        <v>129847.79814820962</v>
      </c>
      <c r="H39" s="176">
        <v>126065.82344486369</v>
      </c>
      <c r="I39" s="176">
        <v>122394.00334452785</v>
      </c>
      <c r="J39" s="176">
        <v>118829.12946070665</v>
      </c>
      <c r="K39" s="177">
        <v>115368.08685505501</v>
      </c>
      <c r="L39" s="177">
        <v>112007.8513155874</v>
      </c>
      <c r="M39" s="177">
        <v>108745.48671416251</v>
      </c>
      <c r="N39" s="177">
        <v>105578.14244093446</v>
      </c>
      <c r="O39" s="177">
        <v>102503.05091352861</v>
      </c>
      <c r="P39" s="177">
        <v>99517.525158765653</v>
      </c>
      <c r="Q39" s="177">
        <v>96618.956464821007</v>
      </c>
      <c r="R39" s="177">
        <v>93804.81210176798</v>
      </c>
      <c r="S39" s="177">
        <v>91072.6331085126</v>
      </c>
      <c r="T39" s="177">
        <v>88420.032144186989</v>
      </c>
      <c r="U39" s="177">
        <v>85844.691402123281</v>
      </c>
      <c r="V39" s="177">
        <v>83344.360584585709</v>
      </c>
      <c r="W39" s="177">
        <v>80916.85493649097</v>
      </c>
    </row>
    <row r="40" spans="1:23" x14ac:dyDescent="0.25">
      <c r="A40" s="7" t="str">
        <v>Charging data function hardware</v>
      </c>
      <c r="B40" s="95"/>
      <c r="C40" s="18"/>
      <c r="D40" s="176">
        <v>123710.04397977595</v>
      </c>
      <c r="E40" s="176">
        <v>120106.83881531644</v>
      </c>
      <c r="F40" s="176">
        <v>116608.58137409366</v>
      </c>
      <c r="G40" s="176">
        <v>113212.2149263045</v>
      </c>
      <c r="H40" s="176">
        <v>109914.77177311115</v>
      </c>
      <c r="I40" s="176">
        <v>106713.37065350598</v>
      </c>
      <c r="J40" s="176">
        <v>103605.21422670483</v>
      </c>
      <c r="K40" s="177">
        <v>100587.58662786875</v>
      </c>
      <c r="L40" s="177">
        <v>97657.851095018224</v>
      </c>
      <c r="M40" s="177">
        <v>94813.44766506624</v>
      </c>
      <c r="N40" s="177">
        <v>92051.890936957512</v>
      </c>
      <c r="O40" s="177">
        <v>89370.767899958737</v>
      </c>
      <c r="P40" s="177">
        <v>86767.735825202675</v>
      </c>
      <c r="Q40" s="177">
        <v>84240.52021864336</v>
      </c>
      <c r="R40" s="177">
        <v>81786.912833634327</v>
      </c>
      <c r="S40" s="177">
        <v>79404.769741392549</v>
      </c>
      <c r="T40" s="177">
        <v>77092.009457662673</v>
      </c>
      <c r="U40" s="177">
        <v>74846.611123944342</v>
      </c>
      <c r="V40" s="177">
        <v>72666.612741693534</v>
      </c>
      <c r="W40" s="177">
        <v>70550.109457954881</v>
      </c>
    </row>
    <row r="41" spans="1:23" x14ac:dyDescent="0.25">
      <c r="A41" s="7" t="str">
        <v>Charging data function software</v>
      </c>
      <c r="B41" s="95"/>
      <c r="C41" s="18"/>
      <c r="D41" s="176">
        <v>147.30414022399992</v>
      </c>
      <c r="E41" s="176">
        <v>143.01372837281548</v>
      </c>
      <c r="F41" s="176">
        <v>138.84827997360725</v>
      </c>
      <c r="G41" s="176">
        <v>134.8041553141818</v>
      </c>
      <c r="H41" s="176">
        <v>130.87782069338036</v>
      </c>
      <c r="I41" s="176">
        <v>127.065845333379</v>
      </c>
      <c r="J41" s="176">
        <v>123.36489838192136</v>
      </c>
      <c r="K41" s="177">
        <v>119.77174600186538</v>
      </c>
      <c r="L41" s="177">
        <v>116.28324854550037</v>
      </c>
      <c r="M41" s="177">
        <v>112.89635781116542</v>
      </c>
      <c r="N41" s="177">
        <v>109.60811437977223</v>
      </c>
      <c r="O41" s="177">
        <v>106.41564502890509</v>
      </c>
      <c r="P41" s="177">
        <v>103.31616022223795</v>
      </c>
      <c r="Q41" s="177">
        <v>100.30695167207568</v>
      </c>
      <c r="R41" s="177">
        <v>97.385389972889016</v>
      </c>
      <c r="S41" s="177">
        <v>94.548922303775726</v>
      </c>
      <c r="T41" s="177">
        <v>91.795070197840531</v>
      </c>
      <c r="U41" s="177">
        <v>89.121427376544204</v>
      </c>
      <c r="V41" s="177">
        <v>86.525657647130288</v>
      </c>
      <c r="W41" s="177">
        <v>84.005492861291529</v>
      </c>
    </row>
    <row r="42" spans="1:23" x14ac:dyDescent="0.25">
      <c r="A42" s="7" t="str">
        <v>Proxy - Call session control function hardware</v>
      </c>
      <c r="B42" s="95"/>
      <c r="C42" s="18"/>
      <c r="D42" s="176">
        <v>0</v>
      </c>
      <c r="E42" s="176">
        <v>0</v>
      </c>
      <c r="F42" s="176">
        <v>0</v>
      </c>
      <c r="G42" s="176">
        <v>0</v>
      </c>
      <c r="H42" s="176">
        <v>0</v>
      </c>
      <c r="I42" s="176">
        <v>0</v>
      </c>
      <c r="J42" s="176">
        <v>0</v>
      </c>
      <c r="K42" s="177">
        <v>0</v>
      </c>
      <c r="L42" s="177">
        <v>0</v>
      </c>
      <c r="M42" s="177">
        <v>0</v>
      </c>
      <c r="N42" s="177">
        <v>0</v>
      </c>
      <c r="O42" s="177">
        <v>0</v>
      </c>
      <c r="P42" s="177">
        <v>0</v>
      </c>
      <c r="Q42" s="177">
        <v>0</v>
      </c>
      <c r="R42" s="177">
        <v>0</v>
      </c>
      <c r="S42" s="177">
        <v>0</v>
      </c>
      <c r="T42" s="177">
        <v>0</v>
      </c>
      <c r="U42" s="177">
        <v>0</v>
      </c>
      <c r="V42" s="177">
        <v>0</v>
      </c>
      <c r="W42" s="177">
        <v>0</v>
      </c>
    </row>
    <row r="43" spans="1:23" x14ac:dyDescent="0.25">
      <c r="A43" s="7" t="str">
        <v>Proxy - Call session control function software</v>
      </c>
      <c r="B43" s="95"/>
      <c r="C43" s="18"/>
      <c r="D43" s="176">
        <v>0</v>
      </c>
      <c r="E43" s="176">
        <v>0</v>
      </c>
      <c r="F43" s="176">
        <v>0</v>
      </c>
      <c r="G43" s="176">
        <v>0</v>
      </c>
      <c r="H43" s="176">
        <v>0</v>
      </c>
      <c r="I43" s="176">
        <v>0</v>
      </c>
      <c r="J43" s="176">
        <v>0</v>
      </c>
      <c r="K43" s="177">
        <v>0</v>
      </c>
      <c r="L43" s="177">
        <v>0</v>
      </c>
      <c r="M43" s="177">
        <v>0</v>
      </c>
      <c r="N43" s="177">
        <v>0</v>
      </c>
      <c r="O43" s="177">
        <v>0</v>
      </c>
      <c r="P43" s="177">
        <v>0</v>
      </c>
      <c r="Q43" s="177">
        <v>0</v>
      </c>
      <c r="R43" s="177">
        <v>0</v>
      </c>
      <c r="S43" s="177">
        <v>0</v>
      </c>
      <c r="T43" s="177">
        <v>0</v>
      </c>
      <c r="U43" s="177">
        <v>0</v>
      </c>
      <c r="V43" s="177">
        <v>0</v>
      </c>
      <c r="W43" s="177">
        <v>0</v>
      </c>
    </row>
    <row r="44" spans="1:23" x14ac:dyDescent="0.25">
      <c r="A44" s="7" t="str">
        <v>Interrogating - Call session control function hardware</v>
      </c>
      <c r="B44" s="95"/>
      <c r="C44" s="18"/>
      <c r="D44" s="176">
        <v>24270.577713802519</v>
      </c>
      <c r="E44" s="176">
        <v>23563.667683303418</v>
      </c>
      <c r="F44" s="176">
        <v>22877.34726534312</v>
      </c>
      <c r="G44" s="176">
        <v>22211.016762469048</v>
      </c>
      <c r="H44" s="176">
        <v>21564.093944144704</v>
      </c>
      <c r="I44" s="176">
        <v>20936.013538004569</v>
      </c>
      <c r="J44" s="176">
        <v>20326.226735926764</v>
      </c>
      <c r="K44" s="177">
        <v>19734.200714492003</v>
      </c>
      <c r="L44" s="177">
        <v>19159.418169409713</v>
      </c>
      <c r="M44" s="177">
        <v>18601.376863504578</v>
      </c>
      <c r="N44" s="177">
        <v>18059.589187868518</v>
      </c>
      <c r="O44" s="177">
        <v>17533.58173579468</v>
      </c>
      <c r="P44" s="177">
        <v>17022.894889121049</v>
      </c>
      <c r="Q44" s="177">
        <v>16527.082416622376</v>
      </c>
      <c r="R44" s="177">
        <v>16045.711084099396</v>
      </c>
      <c r="S44" s="177">
        <v>15578.360275824654</v>
      </c>
      <c r="T44" s="177">
        <v>15124.621627014229</v>
      </c>
      <c r="U44" s="177">
        <v>14684.098667004104</v>
      </c>
      <c r="V44" s="177">
        <v>14256.406472819517</v>
      </c>
      <c r="W44" s="177">
        <v>13841.171332834485</v>
      </c>
    </row>
    <row r="45" spans="1:23" x14ac:dyDescent="0.25">
      <c r="A45" s="7" t="str">
        <v>Interrogating - Call session control function software</v>
      </c>
      <c r="B45" s="95"/>
      <c r="C45" s="18"/>
      <c r="D45" s="176">
        <v>70840.576577979853</v>
      </c>
      <c r="E45" s="176">
        <v>68777.258813572669</v>
      </c>
      <c r="F45" s="176">
        <v>66774.037683080271</v>
      </c>
      <c r="G45" s="176">
        <v>64829.162799107049</v>
      </c>
      <c r="H45" s="176">
        <v>62940.934756414616</v>
      </c>
      <c r="I45" s="176">
        <v>61107.703647004477</v>
      </c>
      <c r="J45" s="176">
        <v>59327.867618450953</v>
      </c>
      <c r="K45" s="177">
        <v>57599.871474224215</v>
      </c>
      <c r="L45" s="177">
        <v>55922.205314780789</v>
      </c>
      <c r="M45" s="177">
        <v>54293.403218233783</v>
      </c>
      <c r="N45" s="177">
        <v>52712.041959450275</v>
      </c>
      <c r="O45" s="177">
        <v>51176.73976645658</v>
      </c>
      <c r="P45" s="177">
        <v>49686.15511306464</v>
      </c>
      <c r="Q45" s="177">
        <v>48238.985546664699</v>
      </c>
      <c r="R45" s="177">
        <v>46833.966550159901</v>
      </c>
      <c r="S45" s="177">
        <v>45469.870437048441</v>
      </c>
      <c r="T45" s="177">
        <v>44145.5052786878</v>
      </c>
      <c r="U45" s="177">
        <v>42859.713862803692</v>
      </c>
      <c r="V45" s="177">
        <v>41611.372682333684</v>
      </c>
      <c r="W45" s="177">
        <v>40399.390953722024</v>
      </c>
    </row>
    <row r="46" spans="1:23" x14ac:dyDescent="0.25">
      <c r="A46" s="7" t="str">
        <v>Serving - Call session control function hardware</v>
      </c>
      <c r="B46" s="95"/>
      <c r="C46" s="18"/>
      <c r="D46" s="176">
        <v>38368.345419014346</v>
      </c>
      <c r="E46" s="176">
        <v>37250.820795159561</v>
      </c>
      <c r="F46" s="176">
        <v>36165.845432193746</v>
      </c>
      <c r="G46" s="176">
        <v>35112.47129339198</v>
      </c>
      <c r="H46" s="176">
        <v>34089.777954749494</v>
      </c>
      <c r="I46" s="176">
        <v>33096.871800727669</v>
      </c>
      <c r="J46" s="176">
        <v>32132.885243424917</v>
      </c>
      <c r="K46" s="177">
        <v>31196.975964490208</v>
      </c>
      <c r="L46" s="177">
        <v>30288.32617911671</v>
      </c>
      <c r="M46" s="177">
        <v>29406.141921472532</v>
      </c>
      <c r="N46" s="177">
        <v>28549.652350944205</v>
      </c>
      <c r="O46" s="177">
        <v>27718.109078586611</v>
      </c>
      <c r="P46" s="177">
        <v>26910.785513190884</v>
      </c>
      <c r="Q46" s="177">
        <v>26126.976226398914</v>
      </c>
      <c r="R46" s="177">
        <v>25365.996336309625</v>
      </c>
      <c r="S46" s="177">
        <v>24627.18090903847</v>
      </c>
      <c r="T46" s="177">
        <v>23909.884377707254</v>
      </c>
      <c r="U46" s="177">
        <v>23213.479978356554</v>
      </c>
      <c r="V46" s="177">
        <v>22537.359202287913</v>
      </c>
      <c r="W46" s="177">
        <v>21880.931264357201</v>
      </c>
    </row>
    <row r="47" spans="1:23" x14ac:dyDescent="0.25">
      <c r="A47" s="7" t="str">
        <v>Serving - Call session control function software</v>
      </c>
      <c r="B47" s="95"/>
      <c r="C47" s="18"/>
      <c r="D47" s="176">
        <v>101243.87611019751</v>
      </c>
      <c r="E47" s="176">
        <v>98295.025349706324</v>
      </c>
      <c r="F47" s="176">
        <v>95432.06344631681</v>
      </c>
      <c r="G47" s="176">
        <v>92652.488782831861</v>
      </c>
      <c r="H47" s="176">
        <v>89953.872604691103</v>
      </c>
      <c r="I47" s="176">
        <v>87333.856897758364</v>
      </c>
      <c r="J47" s="176">
        <v>84790.152327920747</v>
      </c>
      <c r="K47" s="177">
        <v>82320.536240699745</v>
      </c>
      <c r="L47" s="177">
        <v>79922.850719125956</v>
      </c>
      <c r="M47" s="177">
        <v>77595.000698180549</v>
      </c>
      <c r="N47" s="177">
        <v>75334.952134155872</v>
      </c>
      <c r="O47" s="177">
        <v>73140.730227335793</v>
      </c>
      <c r="P47" s="177">
        <v>71010.417696442528</v>
      </c>
      <c r="Q47" s="177">
        <v>68942.153103342251</v>
      </c>
      <c r="R47" s="177">
        <v>66934.129226545876</v>
      </c>
      <c r="S47" s="177">
        <v>64984.591482083371</v>
      </c>
      <c r="T47" s="177">
        <v>63091.836390372206</v>
      </c>
      <c r="U47" s="177">
        <v>61254.210087740001</v>
      </c>
      <c r="V47" s="177">
        <v>59470.106881300977</v>
      </c>
      <c r="W47" s="177">
        <v>57737.967845923275</v>
      </c>
    </row>
    <row r="48" spans="1:23" x14ac:dyDescent="0.25">
      <c r="A48" s="7" t="str">
        <v>Media resource function - hardware</v>
      </c>
      <c r="B48" s="95"/>
      <c r="C48" s="18"/>
      <c r="D48" s="176">
        <v>8334.3814530008985</v>
      </c>
      <c r="E48" s="176">
        <v>8091.632478641649</v>
      </c>
      <c r="F48" s="176">
        <v>7855.9538627588818</v>
      </c>
      <c r="G48" s="176">
        <v>7627.1396725814384</v>
      </c>
      <c r="H48" s="176">
        <v>7404.9899733800376</v>
      </c>
      <c r="I48" s="176">
        <v>7189.3106537670274</v>
      </c>
      <c r="J48" s="176">
        <v>6979.9132560844919</v>
      </c>
      <c r="K48" s="177">
        <v>6776.6148117325156</v>
      </c>
      <c r="L48" s="177">
        <v>6579.2376812937046</v>
      </c>
      <c r="M48" s="177">
        <v>6387.6093993142758</v>
      </c>
      <c r="N48" s="177">
        <v>6201.5625236060941</v>
      </c>
      <c r="O48" s="177">
        <v>6020.9344889379554</v>
      </c>
      <c r="P48" s="177">
        <v>5845.5674649883067</v>
      </c>
      <c r="Q48" s="177">
        <v>5675.3082184352479</v>
      </c>
      <c r="R48" s="177">
        <v>5510.0079790633472</v>
      </c>
      <c r="S48" s="177">
        <v>5349.5223097702392</v>
      </c>
      <c r="T48" s="177">
        <v>5193.7109803594567</v>
      </c>
      <c r="U48" s="177">
        <v>5042.4378450091817</v>
      </c>
      <c r="V48" s="177">
        <v>4895.5707233098847</v>
      </c>
      <c r="W48" s="177">
        <v>4752.9812847668782</v>
      </c>
    </row>
    <row r="49" spans="1:24" x14ac:dyDescent="0.25">
      <c r="A49" s="7" t="str">
        <v>Media resource function - software</v>
      </c>
      <c r="B49" s="95"/>
      <c r="C49" s="18"/>
      <c r="D49" s="176">
        <v>2740.6240075802284</v>
      </c>
      <c r="E49" s="176">
        <v>2660.8000073594453</v>
      </c>
      <c r="F49" s="176">
        <v>2583.3009780188786</v>
      </c>
      <c r="G49" s="176">
        <v>2508.0592019600763</v>
      </c>
      <c r="H49" s="176">
        <v>2435.0089339418214</v>
      </c>
      <c r="I49" s="176">
        <v>2364.0863436328364</v>
      </c>
      <c r="J49" s="176">
        <v>2295.2294598377052</v>
      </c>
      <c r="K49" s="177">
        <v>2228.3781163472868</v>
      </c>
      <c r="L49" s="177">
        <v>2163.4738993662972</v>
      </c>
      <c r="M49" s="177">
        <v>2100.4600964721335</v>
      </c>
      <c r="N49" s="177">
        <v>2039.2816470603238</v>
      </c>
      <c r="O49" s="177">
        <v>1979.885094233324</v>
      </c>
      <c r="P49" s="177">
        <v>1922.218538090606</v>
      </c>
      <c r="Q49" s="177">
        <v>1866.2315903792291</v>
      </c>
      <c r="R49" s="177">
        <v>1811.875330465271</v>
      </c>
      <c r="S49" s="177">
        <v>1759.1022625876417</v>
      </c>
      <c r="T49" s="177">
        <v>1707.8662743569334</v>
      </c>
      <c r="U49" s="177">
        <v>1658.1225964630421</v>
      </c>
      <c r="V49" s="177">
        <v>1609.8277635563518</v>
      </c>
      <c r="W49" s="177">
        <v>1562.9395762683027</v>
      </c>
    </row>
    <row r="50" spans="1:24" x14ac:dyDescent="0.25">
      <c r="A50" s="18" t="str">
        <v>Access session border controller - hardware</v>
      </c>
      <c r="B50" s="18"/>
      <c r="C50" s="7"/>
      <c r="D50" s="176">
        <v>30365.570032220068</v>
      </c>
      <c r="E50" s="176">
        <v>29481.13595361172</v>
      </c>
      <c r="F50" s="176">
        <v>28622.462090885161</v>
      </c>
      <c r="G50" s="176">
        <v>27788.798146490444</v>
      </c>
      <c r="H50" s="176">
        <v>26979.415676204317</v>
      </c>
      <c r="I50" s="176">
        <v>26193.607452625551</v>
      </c>
      <c r="J50" s="176">
        <v>25430.686847209268</v>
      </c>
      <c r="K50" s="176">
        <v>24689.987230300263</v>
      </c>
      <c r="L50" s="176">
        <v>23970.861388641028</v>
      </c>
      <c r="M50" s="176">
        <v>23272.68095984566</v>
      </c>
      <c r="N50" s="176">
        <v>22594.835883345302</v>
      </c>
      <c r="O50" s="176">
        <v>21936.733867325536</v>
      </c>
      <c r="P50" s="176">
        <v>21297.79987118984</v>
      </c>
      <c r="Q50" s="176">
        <v>20677.475603096933</v>
      </c>
      <c r="R50" s="176">
        <v>20075.219032132944</v>
      </c>
      <c r="S50" s="176">
        <v>19490.503914692177</v>
      </c>
      <c r="T50" s="176">
        <v>18922.819334652599</v>
      </c>
      <c r="U50" s="176">
        <v>18371.669256944271</v>
      </c>
      <c r="V50" s="176">
        <v>17836.572094120653</v>
      </c>
      <c r="W50" s="176">
        <v>17317.060285554031</v>
      </c>
    </row>
    <row r="51" spans="1:24" x14ac:dyDescent="0.25">
      <c r="A51" s="18" t="str">
        <v>Access session border controller - software</v>
      </c>
      <c r="B51" s="18"/>
      <c r="C51" s="18"/>
      <c r="D51" s="178">
        <v>21141.956629904616</v>
      </c>
      <c r="E51" s="178">
        <v>20526.17148534429</v>
      </c>
      <c r="F51" s="178">
        <v>19928.321830431345</v>
      </c>
      <c r="G51" s="178">
        <v>19347.885272263444</v>
      </c>
      <c r="H51" s="178">
        <v>18784.354633265477</v>
      </c>
      <c r="I51" s="178">
        <v>18237.237508024733</v>
      </c>
      <c r="J51" s="178">
        <v>17706.055833033723</v>
      </c>
      <c r="K51" s="178">
        <v>17190.345468964777</v>
      </c>
      <c r="L51" s="178">
        <v>16689.655795111434</v>
      </c>
      <c r="M51" s="178">
        <v>16203.549315642171</v>
      </c>
      <c r="N51" s="178">
        <v>15731.601277322494</v>
      </c>
      <c r="O51" s="178">
        <v>15273.399298371354</v>
      </c>
      <c r="P51" s="178">
        <v>14828.54300812753</v>
      </c>
      <c r="Q51" s="178">
        <v>14396.643697211193</v>
      </c>
      <c r="R51" s="178">
        <v>13977.323977874943</v>
      </c>
      <c r="S51" s="178">
        <v>13570.217454247517</v>
      </c>
      <c r="T51" s="178">
        <v>13174.968402182058</v>
      </c>
      <c r="U51" s="178">
        <v>12791.23145842918</v>
      </c>
      <c r="V51" s="178">
        <v>12418.671318863282</v>
      </c>
      <c r="W51" s="178">
        <v>12056.962445498333</v>
      </c>
    </row>
    <row r="52" spans="1:24" x14ac:dyDescent="0.25">
      <c r="A52" s="18" t="str">
        <v>Internet exchange point session border controller - hardware</v>
      </c>
      <c r="B52" s="18"/>
      <c r="C52" s="18"/>
      <c r="D52" s="176">
        <v>37688.671533495828</v>
      </c>
      <c r="E52" s="176">
        <v>36590.94323640372</v>
      </c>
      <c r="F52" s="176">
        <v>35525.187608158951</v>
      </c>
      <c r="G52" s="176">
        <v>34490.473405979559</v>
      </c>
      <c r="H52" s="176">
        <v>33485.896510659761</v>
      </c>
      <c r="I52" s="176">
        <v>32510.579136562879</v>
      </c>
      <c r="J52" s="176">
        <v>31563.669064624155</v>
      </c>
      <c r="K52" s="176">
        <v>30644.338897693353</v>
      </c>
      <c r="L52" s="176">
        <v>29751.785337566362</v>
      </c>
      <c r="M52" s="176">
        <v>28885.228483074141</v>
      </c>
      <c r="N52" s="176">
        <v>28043.911148615665</v>
      </c>
      <c r="O52" s="176">
        <v>27227.098202539484</v>
      </c>
      <c r="P52" s="176">
        <v>26434.075924795616</v>
      </c>
      <c r="Q52" s="176">
        <v>25664.151383296714</v>
      </c>
      <c r="R52" s="176">
        <v>24916.65182844341</v>
      </c>
      <c r="S52" s="176">
        <v>24190.924105284863</v>
      </c>
      <c r="T52" s="176">
        <v>23486.33408280084</v>
      </c>
      <c r="U52" s="176">
        <v>22802.266099806639</v>
      </c>
      <c r="V52" s="176">
        <v>22138.122426996735</v>
      </c>
      <c r="W52" s="176">
        <v>21493.322744657024</v>
      </c>
    </row>
    <row r="53" spans="1:24" x14ac:dyDescent="0.25">
      <c r="A53" s="18" t="str">
        <v>Internet exchange point session border controller - software</v>
      </c>
      <c r="B53" s="18"/>
      <c r="C53" s="18"/>
      <c r="D53" s="176">
        <v>78781.078024007569</v>
      </c>
      <c r="E53" s="176">
        <v>76486.483518453955</v>
      </c>
      <c r="F53" s="176">
        <v>74258.721862576655</v>
      </c>
      <c r="G53" s="176">
        <v>72095.84646852102</v>
      </c>
      <c r="H53" s="176">
        <v>69995.967445166025</v>
      </c>
      <c r="I53" s="176">
        <v>67957.249946763128</v>
      </c>
      <c r="J53" s="176">
        <v>65977.912569672946</v>
      </c>
      <c r="K53" s="176">
        <v>64056.225795798971</v>
      </c>
      <c r="L53" s="176">
        <v>62190.510481358229</v>
      </c>
      <c r="M53" s="176">
        <v>60379.136389668187</v>
      </c>
      <c r="N53" s="176">
        <v>58620.520766668138</v>
      </c>
      <c r="O53" s="176">
        <v>56913.126957930224</v>
      </c>
      <c r="P53" s="176">
        <v>55255.463065951684</v>
      </c>
      <c r="Q53" s="176">
        <v>53646.080646555027</v>
      </c>
      <c r="R53" s="176">
        <v>52083.573443257308</v>
      </c>
      <c r="S53" s="176">
        <v>50566.576158502234</v>
      </c>
      <c r="T53" s="176">
        <v>49093.763260681786</v>
      </c>
      <c r="U53" s="176">
        <v>47663.847825904646</v>
      </c>
      <c r="V53" s="176">
        <v>46275.580413499651</v>
      </c>
      <c r="W53" s="176">
        <v>44927.747974271508</v>
      </c>
      <c r="X53" s="6" t="s">
        <v>270</v>
      </c>
    </row>
    <row r="55" spans="1:24" x14ac:dyDescent="0.25">
      <c r="A55" s="15" t="s">
        <v>398</v>
      </c>
      <c r="B55" s="18"/>
      <c r="C55" s="18"/>
      <c r="D55" s="139">
        <f>SUM(D38:D53)</f>
        <v>762945.08360703103</v>
      </c>
      <c r="E55" s="139">
        <f t="shared" ref="E55:W55" si="9">SUM(E38:E53)</f>
        <v>740723.38214274845</v>
      </c>
      <c r="F55" s="139">
        <f t="shared" si="9"/>
        <v>719148.91470169753</v>
      </c>
      <c r="G55" s="139">
        <f t="shared" si="9"/>
        <v>698202.82980747323</v>
      </c>
      <c r="H55" s="139">
        <f t="shared" si="9"/>
        <v>677866.82505579921</v>
      </c>
      <c r="I55" s="139">
        <f t="shared" si="9"/>
        <v>658123.13112213521</v>
      </c>
      <c r="J55" s="139">
        <f t="shared" si="9"/>
        <v>638954.49623508262</v>
      </c>
      <c r="K55" s="139">
        <f t="shared" si="9"/>
        <v>620344.17110202194</v>
      </c>
      <c r="L55" s="139">
        <f t="shared" si="9"/>
        <v>602275.89427380776</v>
      </c>
      <c r="M55" s="139">
        <f t="shared" si="9"/>
        <v>584733.87793573563</v>
      </c>
      <c r="N55" s="139">
        <f t="shared" si="9"/>
        <v>567702.79411236476</v>
      </c>
      <c r="O55" s="139">
        <f t="shared" si="9"/>
        <v>551167.76127414056</v>
      </c>
      <c r="P55" s="139">
        <f t="shared" si="9"/>
        <v>535114.3313341171</v>
      </c>
      <c r="Q55" s="139">
        <f t="shared" si="9"/>
        <v>519528.47702341457</v>
      </c>
      <c r="R55" s="139">
        <f t="shared" si="9"/>
        <v>504396.57963438309</v>
      </c>
      <c r="S55" s="139">
        <f t="shared" si="9"/>
        <v>489705.41712076019</v>
      </c>
      <c r="T55" s="139">
        <f t="shared" si="9"/>
        <v>475442.15254442743</v>
      </c>
      <c r="U55" s="139">
        <f t="shared" si="9"/>
        <v>461594.32285866741</v>
      </c>
      <c r="V55" s="139">
        <f t="shared" si="9"/>
        <v>448149.82801812369</v>
      </c>
      <c r="W55" s="139">
        <f t="shared" si="9"/>
        <v>435096.92040594527</v>
      </c>
      <c r="X55" s="16" t="s">
        <v>400</v>
      </c>
    </row>
  </sheetData>
  <phoneticPr fontId="1" type="noConversion"/>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EAED4-9633-478F-B228-37EE4591F4C0}">
  <sheetPr>
    <tabColor theme="3" tint="0.79998168889431442"/>
  </sheetPr>
  <dimension ref="B2"/>
  <sheetViews>
    <sheetView workbookViewId="0">
      <selection activeCell="B3" sqref="B3"/>
    </sheetView>
  </sheetViews>
  <sheetFormatPr defaultColWidth="9.28515625" defaultRowHeight="15" x14ac:dyDescent="0.25"/>
  <cols>
    <col min="1" max="16384" width="9.28515625" style="13"/>
  </cols>
  <sheetData>
    <row r="2" spans="2:2" x14ac:dyDescent="0.25">
      <c r="B2" s="13" t="s">
        <v>359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74A99-B73C-4573-80FA-03E7D59B8540}">
  <dimension ref="A1:W12"/>
  <sheetViews>
    <sheetView workbookViewId="0">
      <selection activeCell="F19" sqref="F19"/>
    </sheetView>
  </sheetViews>
  <sheetFormatPr defaultColWidth="9.28515625" defaultRowHeight="15" x14ac:dyDescent="0.25"/>
  <cols>
    <col min="1" max="1" width="34.5703125" style="13" customWidth="1"/>
    <col min="2" max="2" width="9.28515625" style="13"/>
    <col min="3" max="22" width="15.7109375" style="13" customWidth="1"/>
    <col min="23" max="16384" width="9.28515625" style="13"/>
  </cols>
  <sheetData>
    <row r="1" spans="1:23" ht="18.75" x14ac:dyDescent="0.3">
      <c r="A1" s="51" t="s">
        <v>334</v>
      </c>
      <c r="B1" s="49"/>
      <c r="C1" s="49"/>
      <c r="D1" s="22"/>
    </row>
    <row r="3" spans="1:23" x14ac:dyDescent="0.25">
      <c r="A3" s="13" t="s">
        <v>344</v>
      </c>
    </row>
    <row r="5" spans="1:23" x14ac:dyDescent="0.25">
      <c r="C5" s="203" cm="1">
        <f t="array" ref="C5:V5">years</f>
        <v>2018</v>
      </c>
      <c r="D5" s="203">
        <v>2019</v>
      </c>
      <c r="E5" s="203">
        <v>2020</v>
      </c>
      <c r="F5" s="203">
        <v>2021</v>
      </c>
      <c r="G5" s="203">
        <v>2022</v>
      </c>
      <c r="H5" s="203">
        <v>2023</v>
      </c>
      <c r="I5" s="203">
        <v>2024</v>
      </c>
      <c r="J5" s="203">
        <v>2025</v>
      </c>
      <c r="K5" s="203">
        <v>2026</v>
      </c>
      <c r="L5" s="203">
        <v>2027</v>
      </c>
      <c r="M5" s="203">
        <v>2028</v>
      </c>
      <c r="N5" s="203">
        <v>2029</v>
      </c>
      <c r="O5" s="203">
        <v>2030</v>
      </c>
      <c r="P5" s="203">
        <v>2031</v>
      </c>
      <c r="Q5" s="203">
        <v>2032</v>
      </c>
      <c r="R5" s="203">
        <v>2033</v>
      </c>
      <c r="S5" s="203">
        <v>2034</v>
      </c>
      <c r="T5" s="203">
        <v>2035</v>
      </c>
      <c r="U5" s="203">
        <v>2036</v>
      </c>
      <c r="V5" s="203">
        <v>2037</v>
      </c>
    </row>
    <row r="6" spans="1:23" x14ac:dyDescent="0.25">
      <c r="A6" s="205" t="str">
        <f>'4 Cost - capital'!$A$3</f>
        <v xml:space="preserve">Core network </v>
      </c>
      <c r="B6" s="18"/>
      <c r="C6" s="17"/>
      <c r="D6" s="17"/>
      <c r="E6" s="17"/>
      <c r="F6" s="17"/>
      <c r="G6" s="17"/>
      <c r="H6" s="17"/>
      <c r="I6" s="17"/>
      <c r="J6" s="17"/>
      <c r="K6" s="17"/>
      <c r="L6" s="17"/>
      <c r="M6" s="17"/>
      <c r="N6" s="17"/>
      <c r="O6" s="17"/>
      <c r="P6" s="17"/>
      <c r="Q6" s="17"/>
      <c r="R6" s="17"/>
      <c r="S6" s="17"/>
      <c r="T6" s="17"/>
      <c r="U6" s="17"/>
      <c r="V6" s="17"/>
    </row>
    <row r="7" spans="1:23" x14ac:dyDescent="0.25">
      <c r="A7" s="18" t="s">
        <v>156</v>
      </c>
      <c r="B7" s="17">
        <f>'3 Network demand'!$C$42</f>
        <v>8</v>
      </c>
      <c r="C7" s="17"/>
      <c r="D7" s="17"/>
      <c r="E7" s="17"/>
      <c r="F7" s="17"/>
      <c r="G7" s="17"/>
      <c r="H7" s="17"/>
      <c r="I7" s="17"/>
      <c r="J7" s="17"/>
      <c r="K7" s="17"/>
      <c r="L7" s="17"/>
      <c r="M7" s="17"/>
      <c r="N7" s="17"/>
      <c r="O7" s="17"/>
      <c r="P7" s="17"/>
      <c r="Q7" s="17"/>
      <c r="R7" s="17"/>
      <c r="S7" s="17"/>
      <c r="T7" s="17"/>
      <c r="U7" s="17"/>
      <c r="V7" s="17"/>
    </row>
    <row r="8" spans="1:23" x14ac:dyDescent="0.25">
      <c r="A8" s="18" t="s">
        <v>345</v>
      </c>
      <c r="B8" s="17"/>
      <c r="C8" s="204"/>
      <c r="D8" s="17">
        <f>C12</f>
        <v>304661219.28119624</v>
      </c>
      <c r="E8" s="17">
        <f t="shared" ref="E8:V8" si="0">D12</f>
        <v>270586359.02923691</v>
      </c>
      <c r="F8" s="17">
        <f t="shared" si="0"/>
        <v>251293363.35210112</v>
      </c>
      <c r="G8" s="17">
        <f t="shared" si="0"/>
        <v>219881692.93308848</v>
      </c>
      <c r="H8" s="17">
        <f t="shared" si="0"/>
        <v>192396481.31645241</v>
      </c>
      <c r="I8" s="17">
        <f t="shared" si="0"/>
        <v>168346921.15189585</v>
      </c>
      <c r="J8" s="17">
        <f t="shared" si="0"/>
        <v>147303556.00790888</v>
      </c>
      <c r="K8" s="17">
        <f t="shared" si="0"/>
        <v>128890611.50692028</v>
      </c>
      <c r="L8" s="17">
        <f t="shared" si="0"/>
        <v>352678005.87858075</v>
      </c>
      <c r="M8" s="17">
        <f t="shared" si="0"/>
        <v>312297172.44414443</v>
      </c>
      <c r="N8" s="17">
        <f t="shared" si="0"/>
        <v>286581708.67762482</v>
      </c>
      <c r="O8" s="17">
        <f t="shared" si="0"/>
        <v>251268118.63095546</v>
      </c>
      <c r="P8" s="17">
        <f t="shared" si="0"/>
        <v>220848193.19632632</v>
      </c>
      <c r="Q8" s="17">
        <f t="shared" si="0"/>
        <v>195591706.33797905</v>
      </c>
      <c r="R8" s="17">
        <f t="shared" si="0"/>
        <v>173332677.90581602</v>
      </c>
      <c r="S8" s="17">
        <f t="shared" si="0"/>
        <v>152532312.14425892</v>
      </c>
      <c r="T8" s="17">
        <f t="shared" si="0"/>
        <v>323734509.31770313</v>
      </c>
      <c r="U8" s="17">
        <f t="shared" si="0"/>
        <v>286617985.12086064</v>
      </c>
      <c r="V8" s="17">
        <f t="shared" si="0"/>
        <v>262134924.44499016</v>
      </c>
    </row>
    <row r="9" spans="1:23" x14ac:dyDescent="0.25">
      <c r="A9" s="18" t="s">
        <v>346</v>
      </c>
      <c r="B9" s="17"/>
      <c r="C9" s="204" cm="1">
        <f t="array" ref="C9:V9">core_costs_capex</f>
        <v>348184250.60708141</v>
      </c>
      <c r="D9" s="17">
        <v>4580333.8950744793</v>
      </c>
      <c r="E9" s="17">
        <v>16606056.230307246</v>
      </c>
      <c r="F9" s="17">
        <v>0</v>
      </c>
      <c r="G9" s="17">
        <v>0</v>
      </c>
      <c r="H9" s="17">
        <v>0</v>
      </c>
      <c r="I9" s="17">
        <v>0</v>
      </c>
      <c r="J9" s="17">
        <v>0</v>
      </c>
      <c r="K9" s="17">
        <v>274169966.64002913</v>
      </c>
      <c r="L9" s="17">
        <v>4233048.3432986252</v>
      </c>
      <c r="M9" s="17">
        <v>15224780.330283936</v>
      </c>
      <c r="N9" s="17">
        <v>581855.47203856579</v>
      </c>
      <c r="O9" s="17">
        <v>1129816.450560322</v>
      </c>
      <c r="P9" s="17">
        <v>2685185.4756497573</v>
      </c>
      <c r="Q9" s="17">
        <v>2502782.6972392388</v>
      </c>
      <c r="R9" s="17">
        <v>989964.54476557882</v>
      </c>
      <c r="S9" s="17">
        <v>217449984.21883035</v>
      </c>
      <c r="T9" s="17">
        <v>3828902.2489947765</v>
      </c>
      <c r="U9" s="17">
        <v>12964785.673413783</v>
      </c>
      <c r="V9" s="17">
        <v>2041837.8646834632</v>
      </c>
    </row>
    <row r="10" spans="1:23" x14ac:dyDescent="0.25">
      <c r="A10" s="18" t="s">
        <v>347</v>
      </c>
      <c r="B10" s="17"/>
      <c r="C10" s="204">
        <f>C9</f>
        <v>348184250.60708141</v>
      </c>
      <c r="D10" s="17">
        <f>D9+D8</f>
        <v>309241553.17627072</v>
      </c>
      <c r="E10" s="17">
        <f t="shared" ref="E10:V10" si="1">E9+E8</f>
        <v>287192415.25954413</v>
      </c>
      <c r="F10" s="17">
        <f t="shared" si="1"/>
        <v>251293363.35210112</v>
      </c>
      <c r="G10" s="17">
        <f t="shared" si="1"/>
        <v>219881692.93308848</v>
      </c>
      <c r="H10" s="17">
        <f t="shared" si="1"/>
        <v>192396481.31645241</v>
      </c>
      <c r="I10" s="17">
        <f t="shared" si="1"/>
        <v>168346921.15189585</v>
      </c>
      <c r="J10" s="17">
        <f t="shared" si="1"/>
        <v>147303556.00790888</v>
      </c>
      <c r="K10" s="17">
        <f t="shared" si="1"/>
        <v>403060578.14694941</v>
      </c>
      <c r="L10" s="17">
        <f t="shared" si="1"/>
        <v>356911054.22187936</v>
      </c>
      <c r="M10" s="17">
        <f t="shared" si="1"/>
        <v>327521952.77442837</v>
      </c>
      <c r="N10" s="17">
        <f t="shared" si="1"/>
        <v>287163564.14966339</v>
      </c>
      <c r="O10" s="17">
        <f t="shared" si="1"/>
        <v>252397935.08151579</v>
      </c>
      <c r="P10" s="17">
        <f t="shared" si="1"/>
        <v>223533378.67197606</v>
      </c>
      <c r="Q10" s="17">
        <f t="shared" si="1"/>
        <v>198094489.0352183</v>
      </c>
      <c r="R10" s="17">
        <f t="shared" si="1"/>
        <v>174322642.45058161</v>
      </c>
      <c r="S10" s="17">
        <f t="shared" si="1"/>
        <v>369982296.36308926</v>
      </c>
      <c r="T10" s="17">
        <f t="shared" si="1"/>
        <v>327563411.5666979</v>
      </c>
      <c r="U10" s="17">
        <f t="shared" si="1"/>
        <v>299582770.79427445</v>
      </c>
      <c r="V10" s="17">
        <f t="shared" si="1"/>
        <v>264176762.30967361</v>
      </c>
    </row>
    <row r="11" spans="1:23" x14ac:dyDescent="0.25">
      <c r="A11" s="18" t="s">
        <v>348</v>
      </c>
      <c r="B11" s="17"/>
      <c r="C11" s="204">
        <f>C9/B7</f>
        <v>43523031.325885177</v>
      </c>
      <c r="D11" s="17">
        <f t="shared" ref="D11:V11" si="2">D10/$B$7</f>
        <v>38655194.14703384</v>
      </c>
      <c r="E11" s="17">
        <f t="shared" si="2"/>
        <v>35899051.907443017</v>
      </c>
      <c r="F11" s="17">
        <f t="shared" si="2"/>
        <v>31411670.41901264</v>
      </c>
      <c r="G11" s="17">
        <f t="shared" si="2"/>
        <v>27485211.61663606</v>
      </c>
      <c r="H11" s="17">
        <f t="shared" si="2"/>
        <v>24049560.164556552</v>
      </c>
      <c r="I11" s="17">
        <f t="shared" si="2"/>
        <v>21043365.143986981</v>
      </c>
      <c r="J11" s="17">
        <f t="shared" si="2"/>
        <v>18412944.50098861</v>
      </c>
      <c r="K11" s="17">
        <f t="shared" si="2"/>
        <v>50382572.268368676</v>
      </c>
      <c r="L11" s="17">
        <f t="shared" si="2"/>
        <v>44613881.77773492</v>
      </c>
      <c r="M11" s="17">
        <f t="shared" si="2"/>
        <v>40940244.096803546</v>
      </c>
      <c r="N11" s="17">
        <f t="shared" si="2"/>
        <v>35895445.518707924</v>
      </c>
      <c r="O11" s="17">
        <f t="shared" si="2"/>
        <v>31549741.885189474</v>
      </c>
      <c r="P11" s="17">
        <f t="shared" si="2"/>
        <v>27941672.333997007</v>
      </c>
      <c r="Q11" s="17">
        <f t="shared" si="2"/>
        <v>24761811.129402287</v>
      </c>
      <c r="R11" s="17">
        <f t="shared" si="2"/>
        <v>21790330.306322701</v>
      </c>
      <c r="S11" s="17">
        <f t="shared" si="2"/>
        <v>46247787.045386158</v>
      </c>
      <c r="T11" s="17">
        <f t="shared" si="2"/>
        <v>40945426.445837237</v>
      </c>
      <c r="U11" s="17">
        <f t="shared" si="2"/>
        <v>37447846.349284306</v>
      </c>
      <c r="V11" s="17">
        <f t="shared" si="2"/>
        <v>33022095.288709201</v>
      </c>
      <c r="W11" s="16" t="s">
        <v>350</v>
      </c>
    </row>
    <row r="12" spans="1:23" x14ac:dyDescent="0.25">
      <c r="A12" s="18" t="s">
        <v>349</v>
      </c>
      <c r="B12" s="17"/>
      <c r="C12" s="204">
        <f>C9-C11</f>
        <v>304661219.28119624</v>
      </c>
      <c r="D12" s="17">
        <f>D10-D11</f>
        <v>270586359.02923691</v>
      </c>
      <c r="E12" s="17">
        <f t="shared" ref="E12:V12" si="3">E10-E11</f>
        <v>251293363.35210112</v>
      </c>
      <c r="F12" s="17">
        <f t="shared" si="3"/>
        <v>219881692.93308848</v>
      </c>
      <c r="G12" s="17">
        <f t="shared" si="3"/>
        <v>192396481.31645241</v>
      </c>
      <c r="H12" s="17">
        <f t="shared" si="3"/>
        <v>168346921.15189585</v>
      </c>
      <c r="I12" s="17">
        <f t="shared" si="3"/>
        <v>147303556.00790888</v>
      </c>
      <c r="J12" s="17">
        <f t="shared" si="3"/>
        <v>128890611.50692028</v>
      </c>
      <c r="K12" s="17">
        <f t="shared" si="3"/>
        <v>352678005.87858075</v>
      </c>
      <c r="L12" s="17">
        <f t="shared" si="3"/>
        <v>312297172.44414443</v>
      </c>
      <c r="M12" s="17">
        <f t="shared" si="3"/>
        <v>286581708.67762482</v>
      </c>
      <c r="N12" s="17">
        <f t="shared" si="3"/>
        <v>251268118.63095546</v>
      </c>
      <c r="O12" s="17">
        <f t="shared" si="3"/>
        <v>220848193.19632632</v>
      </c>
      <c r="P12" s="17">
        <f t="shared" si="3"/>
        <v>195591706.33797905</v>
      </c>
      <c r="Q12" s="17">
        <f t="shared" si="3"/>
        <v>173332677.90581602</v>
      </c>
      <c r="R12" s="17">
        <f t="shared" si="3"/>
        <v>152532312.14425892</v>
      </c>
      <c r="S12" s="17">
        <f t="shared" si="3"/>
        <v>323734509.31770313</v>
      </c>
      <c r="T12" s="17">
        <f t="shared" si="3"/>
        <v>286617985.12086064</v>
      </c>
      <c r="U12" s="17">
        <f t="shared" si="3"/>
        <v>262134924.44499016</v>
      </c>
      <c r="V12" s="17">
        <f t="shared" si="3"/>
        <v>231154667.02096441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0814B-14E5-44E7-9E0D-AF8C592BA163}">
  <dimension ref="A1:V21"/>
  <sheetViews>
    <sheetView zoomScale="90" zoomScaleNormal="90" workbookViewId="0">
      <selection activeCell="B8" sqref="B8"/>
    </sheetView>
  </sheetViews>
  <sheetFormatPr defaultColWidth="16.5703125" defaultRowHeight="15" x14ac:dyDescent="0.25"/>
  <cols>
    <col min="1" max="1" width="52.7109375" style="13" customWidth="1"/>
    <col min="2" max="21" width="18.28515625" style="13" bestFit="1" customWidth="1"/>
    <col min="22" max="16384" width="16.5703125" style="13"/>
  </cols>
  <sheetData>
    <row r="1" spans="1:22" ht="18.75" x14ac:dyDescent="0.3">
      <c r="A1" s="51" t="s">
        <v>335</v>
      </c>
      <c r="B1" s="49"/>
      <c r="C1" s="49"/>
      <c r="D1" s="22"/>
    </row>
    <row r="3" spans="1:22" x14ac:dyDescent="0.25">
      <c r="A3" s="13" t="s">
        <v>336</v>
      </c>
    </row>
    <row r="5" spans="1:22" x14ac:dyDescent="0.25">
      <c r="A5"/>
      <c r="B5" s="53" cm="1">
        <f t="array" ref="B5:U5">years</f>
        <v>2018</v>
      </c>
      <c r="C5" s="53">
        <v>2019</v>
      </c>
      <c r="D5" s="53">
        <v>2020</v>
      </c>
      <c r="E5" s="53">
        <v>2021</v>
      </c>
      <c r="F5" s="53">
        <v>2022</v>
      </c>
      <c r="G5" s="53">
        <v>2023</v>
      </c>
      <c r="H5" s="53">
        <v>2024</v>
      </c>
      <c r="I5" s="53">
        <v>2025</v>
      </c>
      <c r="J5" s="53">
        <v>2026</v>
      </c>
      <c r="K5" s="53">
        <v>2027</v>
      </c>
      <c r="L5" s="53">
        <v>2028</v>
      </c>
      <c r="M5" s="53">
        <v>2029</v>
      </c>
      <c r="N5" s="53">
        <v>2030</v>
      </c>
      <c r="O5" s="53">
        <v>2031</v>
      </c>
      <c r="P5" s="53">
        <v>2032</v>
      </c>
      <c r="Q5" s="53">
        <v>2033</v>
      </c>
      <c r="R5" s="53">
        <v>2034</v>
      </c>
      <c r="S5" s="53">
        <v>2035</v>
      </c>
      <c r="T5" s="53">
        <v>2036</v>
      </c>
      <c r="U5" s="53">
        <v>2037</v>
      </c>
    </row>
    <row r="6" spans="1:22" x14ac:dyDescent="0.25">
      <c r="A6" s="18" t="s">
        <v>337</v>
      </c>
      <c r="B6" s="17" cm="1">
        <f t="array" ref="B6:U6">fixed_minutes_incoming*pure_lric</f>
        <v>52149199.247347273</v>
      </c>
      <c r="C6" s="17">
        <v>58878584.494654536</v>
      </c>
      <c r="D6" s="17">
        <v>64292241.403440326</v>
      </c>
      <c r="E6" s="17">
        <v>61175178.112887345</v>
      </c>
      <c r="F6" s="17">
        <v>61051257.219112158</v>
      </c>
      <c r="G6" s="17">
        <v>60897420.307451203</v>
      </c>
      <c r="H6" s="17">
        <v>60675304.237959892</v>
      </c>
      <c r="I6" s="17">
        <v>60444221.711257055</v>
      </c>
      <c r="J6" s="17">
        <v>60281108.299651913</v>
      </c>
      <c r="K6" s="17">
        <v>60187446.314207464</v>
      </c>
      <c r="L6" s="17">
        <v>60164839.394616731</v>
      </c>
      <c r="M6" s="17">
        <v>60215017.465079904</v>
      </c>
      <c r="N6" s="17">
        <v>60339841.966708079</v>
      </c>
      <c r="O6" s="17">
        <v>60541311.379672185</v>
      </c>
      <c r="P6" s="17">
        <v>60821567.048994973</v>
      </c>
      <c r="Q6" s="17">
        <v>61182899.328598849</v>
      </c>
      <c r="R6" s="17">
        <v>61627754.058970883</v>
      </c>
      <c r="S6" s="17">
        <v>62158739.394593477</v>
      </c>
      <c r="T6" s="17">
        <v>62778632.998114929</v>
      </c>
      <c r="U6" s="17">
        <v>63490389.619100742</v>
      </c>
      <c r="V6" s="16" t="s">
        <v>340</v>
      </c>
    </row>
    <row r="7" spans="1:22" x14ac:dyDescent="0.25">
      <c r="A7" s="18" t="s">
        <v>338</v>
      </c>
      <c r="B7" s="17" cm="1">
        <f t="array" ref="B7:U7">lric_revenues/wacc_index</f>
        <v>43248216.279521093</v>
      </c>
      <c r="C7" s="17">
        <v>40719631.477573246</v>
      </c>
      <c r="D7" s="17">
        <v>36906374.860454395</v>
      </c>
      <c r="E7" s="17">
        <v>29884474.764230411</v>
      </c>
      <c r="F7" s="17">
        <v>24952545.891109932</v>
      </c>
      <c r="G7" s="17">
        <v>20538667.88668187</v>
      </c>
      <c r="H7" s="17">
        <v>16886454.128304865</v>
      </c>
      <c r="I7" s="17">
        <v>13881436.705959896</v>
      </c>
      <c r="J7" s="17">
        <v>11423889.169791939</v>
      </c>
      <c r="K7" s="17">
        <v>9412214.0469643846</v>
      </c>
      <c r="L7" s="17">
        <v>7763932.752241944</v>
      </c>
      <c r="M7" s="17">
        <v>6412050.6658619782</v>
      </c>
      <c r="N7" s="17">
        <v>5302118.4101785691</v>
      </c>
      <c r="O7" s="17">
        <v>4389855.2819469934</v>
      </c>
      <c r="P7" s="17">
        <v>3639226.7001461391</v>
      </c>
      <c r="Q7" s="17">
        <v>3020888.4138483577</v>
      </c>
      <c r="R7" s="17">
        <v>2510927.0548244119</v>
      </c>
      <c r="S7" s="17">
        <v>2089840.2000364596</v>
      </c>
      <c r="T7" s="17">
        <v>1741710.0621894551</v>
      </c>
      <c r="U7" s="17">
        <v>1453533.7615366792</v>
      </c>
      <c r="V7" s="16"/>
    </row>
    <row r="8" spans="1:22" x14ac:dyDescent="0.25">
      <c r="A8" s="18" t="s">
        <v>339</v>
      </c>
      <c r="B8" s="17">
        <f>SUM(_xlfn.ANCHORARRAY(B7))</f>
        <v>286177988.51340294</v>
      </c>
      <c r="C8" s="24"/>
      <c r="D8" s="24"/>
      <c r="E8" s="24"/>
      <c r="F8" s="24"/>
      <c r="G8" s="24"/>
      <c r="H8" s="24"/>
      <c r="I8" s="24"/>
      <c r="J8" s="24"/>
      <c r="K8" s="24"/>
      <c r="L8" s="24"/>
      <c r="M8" s="24"/>
      <c r="N8" s="24"/>
      <c r="O8" s="24"/>
      <c r="P8" s="24"/>
      <c r="Q8" s="24"/>
      <c r="R8" s="24"/>
      <c r="S8" s="24"/>
      <c r="T8" s="24"/>
      <c r="U8" s="24"/>
      <c r="V8" s="16"/>
    </row>
    <row r="9" spans="1:22" x14ac:dyDescent="0.25">
      <c r="B9" s="24"/>
      <c r="C9" s="24"/>
      <c r="D9" s="24"/>
      <c r="E9" s="24"/>
      <c r="F9" s="24"/>
      <c r="G9" s="24"/>
      <c r="H9" s="24"/>
      <c r="I9" s="24"/>
      <c r="J9" s="24"/>
      <c r="K9" s="24"/>
      <c r="L9" s="24"/>
      <c r="M9" s="24"/>
      <c r="N9" s="24"/>
      <c r="O9" s="24"/>
      <c r="P9" s="24"/>
      <c r="Q9" s="24"/>
      <c r="R9" s="24"/>
      <c r="S9" s="24"/>
      <c r="T9" s="24"/>
      <c r="U9" s="24"/>
      <c r="V9" s="16"/>
    </row>
    <row r="11" spans="1:22" x14ac:dyDescent="0.25">
      <c r="A11" s="49" t="s">
        <v>341</v>
      </c>
      <c r="B11" s="49"/>
      <c r="C11" s="49"/>
      <c r="D11" s="49"/>
      <c r="E11" s="50"/>
      <c r="F11" s="50"/>
      <c r="G11" s="50"/>
      <c r="H11" s="50"/>
      <c r="I11" s="50"/>
      <c r="J11" s="50"/>
      <c r="K11" s="50"/>
      <c r="L11" s="50"/>
      <c r="M11" s="50"/>
      <c r="N11" s="50"/>
      <c r="O11" s="50"/>
      <c r="P11" s="50"/>
      <c r="Q11" s="50"/>
      <c r="R11" s="50"/>
      <c r="S11" s="50"/>
      <c r="T11" s="50"/>
      <c r="U11" s="50"/>
    </row>
    <row r="14" spans="1:22" x14ac:dyDescent="0.25">
      <c r="B14" s="53" cm="1">
        <f t="array" ref="B14:U14">years</f>
        <v>2018</v>
      </c>
      <c r="C14" s="53">
        <v>2019</v>
      </c>
      <c r="D14" s="53">
        <v>2020</v>
      </c>
      <c r="E14" s="53">
        <v>2021</v>
      </c>
      <c r="F14" s="53">
        <v>2022</v>
      </c>
      <c r="G14" s="53">
        <v>2023</v>
      </c>
      <c r="H14" s="53">
        <v>2024</v>
      </c>
      <c r="I14" s="53">
        <v>2025</v>
      </c>
      <c r="J14" s="53">
        <v>2026</v>
      </c>
      <c r="K14" s="53">
        <v>2027</v>
      </c>
      <c r="L14" s="53">
        <v>2028</v>
      </c>
      <c r="M14" s="53">
        <v>2029</v>
      </c>
      <c r="N14" s="53">
        <v>2030</v>
      </c>
      <c r="O14" s="53">
        <v>2031</v>
      </c>
      <c r="P14" s="53">
        <v>2032</v>
      </c>
      <c r="Q14" s="53">
        <v>2033</v>
      </c>
      <c r="R14" s="53">
        <v>2034</v>
      </c>
      <c r="S14" s="53">
        <v>2035</v>
      </c>
      <c r="T14" s="53">
        <v>2036</v>
      </c>
      <c r="U14" s="53">
        <v>2037</v>
      </c>
    </row>
    <row r="15" spans="1:22" x14ac:dyDescent="0.25">
      <c r="A15" s="18" t="str">
        <f>'5 Cost - opex'!$A$4</f>
        <v>Core network opex</v>
      </c>
      <c r="B15" s="17" cm="1">
        <f t="array" ref="B15:U15">core_costs_opex</f>
        <v>27854740.048566509</v>
      </c>
      <c r="C15" s="17">
        <v>27409863.651961796</v>
      </c>
      <c r="D15" s="17">
        <v>27940002.607125349</v>
      </c>
      <c r="E15" s="17">
        <v>27126216.123422671</v>
      </c>
      <c r="F15" s="17">
        <v>26336132.158662785</v>
      </c>
      <c r="G15" s="17">
        <v>25569060.348216295</v>
      </c>
      <c r="H15" s="17">
        <v>24824330.435161453</v>
      </c>
      <c r="I15" s="17">
        <v>24101291.684622765</v>
      </c>
      <c r="J15" s="17">
        <v>23344120.632617462</v>
      </c>
      <c r="K15" s="17">
        <v>22713578.026571847</v>
      </c>
      <c r="L15" s="17">
        <v>22221281.997249499</v>
      </c>
      <c r="M15" s="17">
        <v>21620608.629267454</v>
      </c>
      <c r="N15" s="17">
        <v>21081267.480382163</v>
      </c>
      <c r="O15" s="17">
        <v>20682064.819005534</v>
      </c>
      <c r="P15" s="17">
        <v>20279897.197337911</v>
      </c>
      <c r="Q15" s="17">
        <v>19768417.74352096</v>
      </c>
      <c r="R15" s="17">
        <v>19274053.048474502</v>
      </c>
      <c r="S15" s="17">
        <v>18751656.446396403</v>
      </c>
      <c r="T15" s="17">
        <v>18281187.97475341</v>
      </c>
      <c r="U15" s="17">
        <v>17875327.451642588</v>
      </c>
    </row>
    <row r="16" spans="1:22" x14ac:dyDescent="0.25">
      <c r="A16" s="18" t="s">
        <v>342</v>
      </c>
      <c r="B16" s="17" cm="1">
        <f t="array" ref="B16:U16">Depreciation_straightline</f>
        <v>43523031.325885177</v>
      </c>
      <c r="C16" s="17">
        <v>38655194.14703384</v>
      </c>
      <c r="D16" s="17">
        <v>35899051.907443017</v>
      </c>
      <c r="E16" s="17">
        <v>31411670.41901264</v>
      </c>
      <c r="F16" s="17">
        <v>27485211.61663606</v>
      </c>
      <c r="G16" s="17">
        <v>24049560.164556552</v>
      </c>
      <c r="H16" s="17">
        <v>21043365.143986981</v>
      </c>
      <c r="I16" s="17">
        <v>18412944.50098861</v>
      </c>
      <c r="J16" s="17">
        <v>50382572.268368676</v>
      </c>
      <c r="K16" s="17">
        <v>44613881.77773492</v>
      </c>
      <c r="L16" s="17">
        <v>40940244.096803546</v>
      </c>
      <c r="M16" s="17">
        <v>35895445.518707924</v>
      </c>
      <c r="N16" s="17">
        <v>31549741.885189474</v>
      </c>
      <c r="O16" s="17">
        <v>27941672.333997007</v>
      </c>
      <c r="P16" s="17">
        <v>24761811.129402287</v>
      </c>
      <c r="Q16" s="17">
        <v>21790330.306322701</v>
      </c>
      <c r="R16" s="17">
        <v>46247787.045386158</v>
      </c>
      <c r="S16" s="17">
        <v>40945426.445837237</v>
      </c>
      <c r="T16" s="17">
        <v>37447846.349284306</v>
      </c>
      <c r="U16" s="17">
        <v>33022095.288709201</v>
      </c>
    </row>
    <row r="17" spans="1:21" x14ac:dyDescent="0.25">
      <c r="A17" s="18" t="s">
        <v>343</v>
      </c>
      <c r="B17" s="17">
        <f>B15+B16</f>
        <v>71377771.374451682</v>
      </c>
      <c r="C17" s="17">
        <f t="shared" ref="C17:U17" si="0">C15+C16</f>
        <v>66065057.798995636</v>
      </c>
      <c r="D17" s="17">
        <f t="shared" si="0"/>
        <v>63839054.514568366</v>
      </c>
      <c r="E17" s="17">
        <f t="shared" si="0"/>
        <v>58537886.542435311</v>
      </c>
      <c r="F17" s="17">
        <f t="shared" si="0"/>
        <v>53821343.775298849</v>
      </c>
      <c r="G17" s="17">
        <f t="shared" si="0"/>
        <v>49618620.512772843</v>
      </c>
      <c r="H17" s="17">
        <f t="shared" si="0"/>
        <v>45867695.579148434</v>
      </c>
      <c r="I17" s="17">
        <f t="shared" si="0"/>
        <v>42514236.185611375</v>
      </c>
      <c r="J17" s="17">
        <f t="shared" si="0"/>
        <v>73726692.900986135</v>
      </c>
      <c r="K17" s="17">
        <f t="shared" si="0"/>
        <v>67327459.804306775</v>
      </c>
      <c r="L17" s="17">
        <f t="shared" si="0"/>
        <v>63161526.094053045</v>
      </c>
      <c r="M17" s="17">
        <f t="shared" si="0"/>
        <v>57516054.147975378</v>
      </c>
      <c r="N17" s="17">
        <f t="shared" si="0"/>
        <v>52631009.365571633</v>
      </c>
      <c r="O17" s="17">
        <f t="shared" si="0"/>
        <v>48623737.153002545</v>
      </c>
      <c r="P17" s="17">
        <f t="shared" si="0"/>
        <v>45041708.326740198</v>
      </c>
      <c r="Q17" s="17">
        <f t="shared" si="0"/>
        <v>41558748.049843661</v>
      </c>
      <c r="R17" s="17">
        <f t="shared" si="0"/>
        <v>65521840.093860656</v>
      </c>
      <c r="S17" s="17">
        <f t="shared" si="0"/>
        <v>59697082.89223364</v>
      </c>
      <c r="T17" s="17">
        <f t="shared" si="0"/>
        <v>55729034.324037716</v>
      </c>
      <c r="U17" s="17">
        <f t="shared" si="0"/>
        <v>50897422.740351789</v>
      </c>
    </row>
    <row r="18" spans="1:21" x14ac:dyDescent="0.25">
      <c r="B18" s="24"/>
      <c r="C18" s="24"/>
      <c r="D18" s="24"/>
      <c r="E18" s="24"/>
      <c r="F18" s="24"/>
      <c r="G18" s="24"/>
      <c r="H18" s="24"/>
      <c r="I18" s="24"/>
      <c r="J18" s="24"/>
      <c r="K18" s="24"/>
      <c r="L18" s="24"/>
      <c r="M18" s="24"/>
      <c r="N18" s="24"/>
      <c r="O18" s="24"/>
      <c r="P18" s="24"/>
      <c r="Q18" s="24"/>
      <c r="R18" s="24"/>
      <c r="S18" s="24"/>
      <c r="T18" s="24"/>
      <c r="U18" s="24"/>
    </row>
    <row r="19" spans="1:21" x14ac:dyDescent="0.25">
      <c r="B19" s="24"/>
      <c r="C19" s="24"/>
      <c r="D19" s="24"/>
      <c r="E19" s="24"/>
      <c r="F19" s="24"/>
      <c r="G19" s="24"/>
      <c r="H19" s="24"/>
      <c r="I19" s="24"/>
      <c r="J19" s="24"/>
      <c r="K19" s="24"/>
      <c r="L19" s="24"/>
      <c r="M19" s="24"/>
      <c r="N19" s="24"/>
      <c r="O19" s="24"/>
      <c r="P19" s="24"/>
      <c r="Q19" s="24"/>
      <c r="R19" s="24"/>
      <c r="S19" s="24"/>
      <c r="T19" s="24"/>
      <c r="U19" s="24"/>
    </row>
    <row r="20" spans="1:21" x14ac:dyDescent="0.25">
      <c r="B20" s="24"/>
      <c r="C20" s="24"/>
      <c r="D20" s="24"/>
      <c r="E20" s="24"/>
      <c r="F20" s="24"/>
      <c r="G20" s="24"/>
      <c r="H20" s="24"/>
      <c r="I20" s="24"/>
      <c r="J20" s="24"/>
      <c r="K20" s="24"/>
      <c r="L20" s="24"/>
      <c r="M20" s="24"/>
      <c r="N20" s="24"/>
      <c r="O20" s="24"/>
      <c r="P20" s="24"/>
      <c r="Q20" s="24"/>
      <c r="R20" s="24"/>
      <c r="S20" s="24"/>
      <c r="T20" s="24"/>
      <c r="U20" s="24"/>
    </row>
    <row r="21" spans="1:21" x14ac:dyDescent="0.25">
      <c r="B21" s="24"/>
      <c r="C21" s="24"/>
      <c r="D21" s="24"/>
      <c r="E21" s="24"/>
      <c r="F21" s="24"/>
      <c r="G21" s="24"/>
      <c r="H21" s="24"/>
      <c r="I21" s="24"/>
      <c r="J21" s="24"/>
      <c r="K21" s="24"/>
      <c r="L21" s="24"/>
      <c r="M21" s="24"/>
      <c r="N21" s="24"/>
      <c r="O21" s="24"/>
      <c r="P21" s="24"/>
      <c r="Q21" s="24"/>
      <c r="R21" s="24"/>
      <c r="S21" s="24"/>
      <c r="T21" s="24"/>
      <c r="U21" s="2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063B0-E577-4947-BC13-798152C56848}">
  <sheetPr>
    <tabColor theme="3" tint="0.79998168889431442"/>
  </sheetPr>
  <dimension ref="B2:K23"/>
  <sheetViews>
    <sheetView workbookViewId="0">
      <selection activeCell="P30" sqref="P30"/>
    </sheetView>
  </sheetViews>
  <sheetFormatPr defaultColWidth="8.5703125" defaultRowHeight="15" x14ac:dyDescent="0.25"/>
  <cols>
    <col min="1" max="16384" width="8.5703125" style="13"/>
  </cols>
  <sheetData>
    <row r="2" spans="2:2" x14ac:dyDescent="0.25">
      <c r="B2" s="13" t="s">
        <v>180</v>
      </c>
    </row>
    <row r="23" spans="11:11" x14ac:dyDescent="0.25">
      <c r="K23" s="2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CEBA7-9990-4B9E-98CC-FDB471927638}">
  <dimension ref="A1:U57"/>
  <sheetViews>
    <sheetView zoomScale="93" zoomScaleNormal="93" workbookViewId="0">
      <selection activeCell="G9" sqref="G9"/>
    </sheetView>
  </sheetViews>
  <sheetFormatPr defaultColWidth="8.7109375" defaultRowHeight="15" x14ac:dyDescent="0.25"/>
  <cols>
    <col min="1" max="1" width="31.42578125" style="13" customWidth="1"/>
    <col min="2" max="21" width="15.7109375" style="13" customWidth="1"/>
    <col min="22" max="16384" width="8.7109375" style="13"/>
  </cols>
  <sheetData>
    <row r="1" spans="1:21" ht="17.25" x14ac:dyDescent="0.3">
      <c r="A1" s="156" t="s">
        <v>181</v>
      </c>
      <c r="B1" s="50"/>
      <c r="C1" s="50"/>
    </row>
    <row r="3" spans="1:21" x14ac:dyDescent="0.25">
      <c r="A3" s="22" t="s">
        <v>182</v>
      </c>
    </row>
    <row r="4" spans="1:21" x14ac:dyDescent="0.25">
      <c r="A4" s="18" t="str" cm="1">
        <f t="array" ref="A4:A6">growth_scenarios</f>
        <v>Low growth scenario</v>
      </c>
      <c r="B4" s="132">
        <v>-5.0000000000000001E-3</v>
      </c>
    </row>
    <row r="5" spans="1:21" x14ac:dyDescent="0.25">
      <c r="A5" s="18" t="str">
        <v>Medium growth scenario</v>
      </c>
      <c r="B5" s="132">
        <v>0</v>
      </c>
    </row>
    <row r="6" spans="1:21" x14ac:dyDescent="0.25">
      <c r="A6" s="18" t="str">
        <v>High growth scenario</v>
      </c>
      <c r="B6" s="132">
        <v>5.0000000000000001E-3</v>
      </c>
    </row>
    <row r="7" spans="1:21" x14ac:dyDescent="0.25">
      <c r="B7" s="25"/>
    </row>
    <row r="8" spans="1:21" x14ac:dyDescent="0.25">
      <c r="A8" s="18" t="s">
        <v>183</v>
      </c>
      <c r="B8" s="132">
        <v>0.6</v>
      </c>
    </row>
    <row r="10" spans="1:21" x14ac:dyDescent="0.25">
      <c r="A10" s="49" t="s">
        <v>184</v>
      </c>
      <c r="B10" s="50"/>
      <c r="C10" s="50"/>
      <c r="D10" s="50"/>
      <c r="E10" s="50"/>
      <c r="F10" s="50"/>
      <c r="G10" s="50"/>
      <c r="H10" s="50"/>
      <c r="I10" s="50"/>
      <c r="J10" s="50"/>
      <c r="K10" s="50"/>
      <c r="L10" s="50"/>
      <c r="M10" s="50"/>
      <c r="N10" s="50"/>
      <c r="O10" s="50"/>
      <c r="P10" s="50"/>
      <c r="Q10" s="50"/>
      <c r="R10" s="50"/>
      <c r="S10" s="50"/>
      <c r="T10" s="50"/>
      <c r="U10" s="50"/>
    </row>
    <row r="11" spans="1:21" x14ac:dyDescent="0.25">
      <c r="A11" s="22"/>
    </row>
    <row r="12" spans="1:21" x14ac:dyDescent="0.25">
      <c r="A12" s="201"/>
      <c r="B12" s="53" cm="1">
        <f t="array" ref="B12:U12">years</f>
        <v>2018</v>
      </c>
      <c r="C12" s="53">
        <v>2019</v>
      </c>
      <c r="D12" s="53">
        <v>2020</v>
      </c>
      <c r="E12" s="53">
        <v>2021</v>
      </c>
      <c r="F12" s="53">
        <v>2022</v>
      </c>
      <c r="G12" s="53">
        <v>2023</v>
      </c>
      <c r="H12" s="53">
        <v>2024</v>
      </c>
      <c r="I12" s="53">
        <v>2025</v>
      </c>
      <c r="J12" s="53">
        <v>2026</v>
      </c>
      <c r="K12" s="53">
        <v>2027</v>
      </c>
      <c r="L12" s="53">
        <v>2028</v>
      </c>
      <c r="M12" s="53">
        <v>2029</v>
      </c>
      <c r="N12" s="53">
        <v>2030</v>
      </c>
      <c r="O12" s="53">
        <v>2031</v>
      </c>
      <c r="P12" s="53">
        <v>2032</v>
      </c>
      <c r="Q12" s="53">
        <v>2033</v>
      </c>
      <c r="R12" s="53">
        <v>2034</v>
      </c>
      <c r="S12" s="53">
        <v>2035</v>
      </c>
      <c r="T12" s="53">
        <v>2036</v>
      </c>
      <c r="U12" s="53">
        <v>2037</v>
      </c>
    </row>
    <row r="13" spans="1:21" x14ac:dyDescent="0.25">
      <c r="A13" s="18" t="str" cm="1">
        <f t="array" ref="A13:A15">growth_scenarios</f>
        <v>Low growth scenario</v>
      </c>
      <c r="B13" s="5">
        <f>ITU!D$6*$B$8</f>
        <v>4255420800</v>
      </c>
      <c r="C13" s="5">
        <f>ITU!E$6*$B$8</f>
        <v>4289535600</v>
      </c>
      <c r="D13" s="5">
        <f>ITU!F$6*$B$8</f>
        <v>3994524000</v>
      </c>
      <c r="E13" s="11">
        <f>ITU!G$6*$B$8</f>
        <v>3773164800</v>
      </c>
      <c r="F13" s="5">
        <f>E13*(1+$B$4)</f>
        <v>3754298976</v>
      </c>
      <c r="G13" s="5">
        <f t="shared" ref="G13" si="0">F13*(1+$B$4)</f>
        <v>3735527481.1199999</v>
      </c>
      <c r="H13" s="5">
        <f t="shared" ref="H13" si="1">G13*(1+$B$4)</f>
        <v>3716849843.7143998</v>
      </c>
      <c r="I13" s="5">
        <f t="shared" ref="I13" si="2">H13*(1+$B$4)</f>
        <v>3698265594.4958277</v>
      </c>
      <c r="J13" s="5">
        <f t="shared" ref="J13" si="3">I13*(1+$B$4)</f>
        <v>3679774266.5233483</v>
      </c>
      <c r="K13" s="5">
        <f t="shared" ref="K13" si="4">J13*(1+$B$4)</f>
        <v>3661375395.1907315</v>
      </c>
      <c r="L13" s="5">
        <f t="shared" ref="L13" si="5">K13*(1+$B$4)</f>
        <v>3643068518.2147779</v>
      </c>
      <c r="M13" s="5">
        <f t="shared" ref="M13" si="6">L13*(1+$B$4)</f>
        <v>3624853175.623704</v>
      </c>
      <c r="N13" s="5">
        <f t="shared" ref="N13" si="7">M13*(1+$B$4)</f>
        <v>3606728909.7455854</v>
      </c>
      <c r="O13" s="5">
        <f t="shared" ref="O13" si="8">N13*(1+$B$4)</f>
        <v>3588695265.1968575</v>
      </c>
      <c r="P13" s="5">
        <f t="shared" ref="P13" si="9">O13*(1+$B$4)</f>
        <v>3570751788.870873</v>
      </c>
      <c r="Q13" s="5">
        <f t="shared" ref="Q13" si="10">P13*(1+$B$4)</f>
        <v>3552898029.9265184</v>
      </c>
      <c r="R13" s="5">
        <f t="shared" ref="R13" si="11">Q13*(1+$B$4)</f>
        <v>3535133539.776886</v>
      </c>
      <c r="S13" s="5">
        <f t="shared" ref="S13" si="12">R13*(1+$B$4)</f>
        <v>3517457872.0780015</v>
      </c>
      <c r="T13" s="5">
        <f t="shared" ref="T13" si="13">S13*(1+$B$4)</f>
        <v>3499870582.7176113</v>
      </c>
      <c r="U13" s="5">
        <f t="shared" ref="U13" si="14">T13*(1+$B$4)</f>
        <v>3482371229.8040233</v>
      </c>
    </row>
    <row r="14" spans="1:21" x14ac:dyDescent="0.25">
      <c r="A14" s="18" t="str">
        <v>Medium growth scenario</v>
      </c>
      <c r="B14" s="5">
        <f>ITU!D$6*$B$8</f>
        <v>4255420800</v>
      </c>
      <c r="C14" s="5">
        <f>ITU!E$6*$B$8</f>
        <v>4289535600</v>
      </c>
      <c r="D14" s="5">
        <f>ITU!F$6*$B$8</f>
        <v>3994524000</v>
      </c>
      <c r="E14" s="5">
        <f>ITU!G$6*$B$8</f>
        <v>3773164800</v>
      </c>
      <c r="F14" s="5">
        <f>E14*(1+$B$5)</f>
        <v>3773164800</v>
      </c>
      <c r="G14" s="5">
        <f t="shared" ref="G14" si="15">F14*(1+$B$5)</f>
        <v>3773164800</v>
      </c>
      <c r="H14" s="5">
        <f t="shared" ref="H14" si="16">G14*(1+$B$5)</f>
        <v>3773164800</v>
      </c>
      <c r="I14" s="5">
        <f t="shared" ref="I14" si="17">H14*(1+$B$5)</f>
        <v>3773164800</v>
      </c>
      <c r="J14" s="5">
        <f t="shared" ref="J14" si="18">I14*(1+$B$5)</f>
        <v>3773164800</v>
      </c>
      <c r="K14" s="5">
        <f t="shared" ref="K14" si="19">J14*(1+$B$5)</f>
        <v>3773164800</v>
      </c>
      <c r="L14" s="5">
        <f t="shared" ref="L14" si="20">K14*(1+$B$5)</f>
        <v>3773164800</v>
      </c>
      <c r="M14" s="5">
        <f t="shared" ref="M14" si="21">L14*(1+$B$5)</f>
        <v>3773164800</v>
      </c>
      <c r="N14" s="5">
        <f t="shared" ref="N14" si="22">M14*(1+$B$5)</f>
        <v>3773164800</v>
      </c>
      <c r="O14" s="5">
        <f t="shared" ref="O14" si="23">N14*(1+$B$5)</f>
        <v>3773164800</v>
      </c>
      <c r="P14" s="5">
        <f t="shared" ref="P14" si="24">O14*(1+$B$5)</f>
        <v>3773164800</v>
      </c>
      <c r="Q14" s="5">
        <f t="shared" ref="Q14" si="25">P14*(1+$B$5)</f>
        <v>3773164800</v>
      </c>
      <c r="R14" s="5">
        <f t="shared" ref="R14" si="26">Q14*(1+$B$5)</f>
        <v>3773164800</v>
      </c>
      <c r="S14" s="5">
        <f t="shared" ref="S14" si="27">R14*(1+$B$5)</f>
        <v>3773164800</v>
      </c>
      <c r="T14" s="5">
        <f t="shared" ref="T14" si="28">S14*(1+$B$5)</f>
        <v>3773164800</v>
      </c>
      <c r="U14" s="5">
        <f t="shared" ref="U14" si="29">T14*(1+$B$5)</f>
        <v>3773164800</v>
      </c>
    </row>
    <row r="15" spans="1:21" x14ac:dyDescent="0.25">
      <c r="A15" s="18" t="str">
        <v>High growth scenario</v>
      </c>
      <c r="B15" s="5">
        <f>ITU!D$6*$B$8</f>
        <v>4255420800</v>
      </c>
      <c r="C15" s="5">
        <f>ITU!E$6*$B$8</f>
        <v>4289535600</v>
      </c>
      <c r="D15" s="5">
        <f>ITU!F$6*$B$8</f>
        <v>3994524000</v>
      </c>
      <c r="E15" s="5">
        <f>ITU!G$6*$B$8</f>
        <v>3773164800</v>
      </c>
      <c r="F15" s="5">
        <f>E15*(1+$B$6)</f>
        <v>3792030623.9999995</v>
      </c>
      <c r="G15" s="5">
        <f t="shared" ref="G15" si="30">F15*(1+$B$6)</f>
        <v>3810990777.1199989</v>
      </c>
      <c r="H15" s="5">
        <f t="shared" ref="H15" si="31">G15*(1+$B$6)</f>
        <v>3830045731.0055985</v>
      </c>
      <c r="I15" s="5">
        <f t="shared" ref="I15" si="32">H15*(1+$B$6)</f>
        <v>3849195959.6606259</v>
      </c>
      <c r="J15" s="5">
        <f t="shared" ref="J15" si="33">I15*(1+$B$6)</f>
        <v>3868441939.4589286</v>
      </c>
      <c r="K15" s="5">
        <f t="shared" ref="K15" si="34">J15*(1+$B$6)</f>
        <v>3887784149.1562228</v>
      </c>
      <c r="L15" s="5">
        <f t="shared" ref="L15" si="35">K15*(1+$B$6)</f>
        <v>3907223069.9020033</v>
      </c>
      <c r="M15" s="5">
        <f t="shared" ref="M15" si="36">L15*(1+$B$6)</f>
        <v>3926759185.251513</v>
      </c>
      <c r="N15" s="5">
        <f t="shared" ref="N15" si="37">M15*(1+$B$6)</f>
        <v>3946392981.1777701</v>
      </c>
      <c r="O15" s="5">
        <f t="shared" ref="O15" si="38">N15*(1+$B$6)</f>
        <v>3966124946.0836587</v>
      </c>
      <c r="P15" s="5">
        <f t="shared" ref="P15" si="39">O15*(1+$B$6)</f>
        <v>3985955570.8140764</v>
      </c>
      <c r="Q15" s="5">
        <f t="shared" ref="Q15" si="40">P15*(1+$B$6)</f>
        <v>4005885348.6681466</v>
      </c>
      <c r="R15" s="5">
        <f t="shared" ref="R15" si="41">Q15*(1+$B$6)</f>
        <v>4025914775.4114871</v>
      </c>
      <c r="S15" s="5">
        <f t="shared" ref="S15" si="42">R15*(1+$B$6)</f>
        <v>4046044349.2885442</v>
      </c>
      <c r="T15" s="5">
        <f t="shared" ref="T15" si="43">S15*(1+$B$6)</f>
        <v>4066274571.0349865</v>
      </c>
      <c r="U15" s="5">
        <f t="shared" ref="U15" si="44">T15*(1+$B$6)</f>
        <v>4086605943.890161</v>
      </c>
    </row>
    <row r="17" spans="1:21" x14ac:dyDescent="0.25">
      <c r="A17" s="49" t="s">
        <v>331</v>
      </c>
      <c r="B17" s="50"/>
      <c r="C17" s="50"/>
      <c r="D17" s="50"/>
      <c r="E17" s="50"/>
      <c r="F17" s="50"/>
      <c r="G17" s="50"/>
      <c r="H17" s="50"/>
      <c r="I17" s="50"/>
      <c r="J17" s="50"/>
      <c r="K17" s="50"/>
      <c r="L17" s="50"/>
      <c r="M17" s="50"/>
      <c r="N17" s="50"/>
      <c r="O17" s="50"/>
      <c r="P17" s="50"/>
      <c r="Q17" s="50"/>
      <c r="R17" s="50"/>
      <c r="S17" s="50"/>
      <c r="T17" s="50"/>
      <c r="U17" s="50"/>
    </row>
    <row r="19" spans="1:21" x14ac:dyDescent="0.25">
      <c r="A19" s="201"/>
      <c r="B19" s="53" cm="1">
        <f t="array" ref="B19:U19">years</f>
        <v>2018</v>
      </c>
      <c r="C19" s="53">
        <v>2019</v>
      </c>
      <c r="D19" s="53">
        <v>2020</v>
      </c>
      <c r="E19" s="53">
        <v>2021</v>
      </c>
      <c r="F19" s="53">
        <v>2022</v>
      </c>
      <c r="G19" s="53">
        <v>2023</v>
      </c>
      <c r="H19" s="53">
        <v>2024</v>
      </c>
      <c r="I19" s="53">
        <v>2025</v>
      </c>
      <c r="J19" s="53">
        <v>2026</v>
      </c>
      <c r="K19" s="53">
        <v>2027</v>
      </c>
      <c r="L19" s="53">
        <v>2028</v>
      </c>
      <c r="M19" s="53">
        <v>2029</v>
      </c>
      <c r="N19" s="53">
        <v>2030</v>
      </c>
      <c r="O19" s="53">
        <v>2031</v>
      </c>
      <c r="P19" s="53">
        <v>2032</v>
      </c>
      <c r="Q19" s="53">
        <v>2033</v>
      </c>
      <c r="R19" s="53">
        <v>2034</v>
      </c>
      <c r="S19" s="53">
        <v>2035</v>
      </c>
      <c r="T19" s="53">
        <v>2036</v>
      </c>
      <c r="U19" s="53">
        <v>2037</v>
      </c>
    </row>
    <row r="20" spans="1:21" x14ac:dyDescent="0.25">
      <c r="A20" s="18" t="str" cm="1">
        <f t="array" ref="A20:A22">growth_scenarios</f>
        <v>Low growth scenario</v>
      </c>
      <c r="B20" s="5">
        <f>ITU!D$6*(1-$B$8)</f>
        <v>2836947200</v>
      </c>
      <c r="C20" s="5">
        <f>ITU!E$6*(1-$B$8)</f>
        <v>2859690400</v>
      </c>
      <c r="D20" s="5">
        <f>ITU!F$6*(1-$B$8)</f>
        <v>2663016000</v>
      </c>
      <c r="E20" s="5">
        <f>ITU!G$6*(1-$B$8)</f>
        <v>2515443200</v>
      </c>
      <c r="F20" s="5">
        <f>E20*(1+$B$4)</f>
        <v>2502865984</v>
      </c>
      <c r="G20" s="5">
        <f t="shared" ref="G20" si="45">F20*(1+$B$4)</f>
        <v>2490351654.0799999</v>
      </c>
      <c r="H20" s="5">
        <f t="shared" ref="H20" si="46">G20*(1+$B$4)</f>
        <v>2477899895.8095999</v>
      </c>
      <c r="I20" s="5">
        <f t="shared" ref="I20" si="47">H20*(1+$B$4)</f>
        <v>2465510396.3305521</v>
      </c>
      <c r="J20" s="5">
        <f t="shared" ref="J20" si="48">I20*(1+$B$4)</f>
        <v>2453182844.3488994</v>
      </c>
      <c r="K20" s="5">
        <f t="shared" ref="K20" si="49">J20*(1+$B$4)</f>
        <v>2440916930.1271548</v>
      </c>
      <c r="L20" s="5">
        <f t="shared" ref="L20" si="50">K20*(1+$B$4)</f>
        <v>2428712345.4765191</v>
      </c>
      <c r="M20" s="5">
        <f t="shared" ref="M20" si="51">L20*(1+$B$4)</f>
        <v>2416568783.7491364</v>
      </c>
      <c r="N20" s="5">
        <f t="shared" ref="N20" si="52">M20*(1+$B$4)</f>
        <v>2404485939.8303909</v>
      </c>
      <c r="O20" s="5">
        <f t="shared" ref="O20" si="53">N20*(1+$B$4)</f>
        <v>2392463510.1312389</v>
      </c>
      <c r="P20" s="5">
        <f t="shared" ref="P20" si="54">O20*(1+$B$4)</f>
        <v>2380501192.5805826</v>
      </c>
      <c r="Q20" s="5">
        <f t="shared" ref="Q20" si="55">P20*(1+$B$4)</f>
        <v>2368598686.6176796</v>
      </c>
      <c r="R20" s="5">
        <f t="shared" ref="R20" si="56">Q20*(1+$B$4)</f>
        <v>2356755693.1845913</v>
      </c>
      <c r="S20" s="5">
        <f t="shared" ref="S20" si="57">R20*(1+$B$4)</f>
        <v>2344971914.7186685</v>
      </c>
      <c r="T20" s="5">
        <f t="shared" ref="T20" si="58">S20*(1+$B$4)</f>
        <v>2333247055.1450753</v>
      </c>
      <c r="U20" s="5">
        <f t="shared" ref="U20" si="59">T20*(1+$B$4)</f>
        <v>2321580819.86935</v>
      </c>
    </row>
    <row r="21" spans="1:21" x14ac:dyDescent="0.25">
      <c r="A21" s="18" t="str">
        <v>Medium growth scenario</v>
      </c>
      <c r="B21" s="5">
        <f>ITU!D$6*(1-$B$8)</f>
        <v>2836947200</v>
      </c>
      <c r="C21" s="5">
        <f>ITU!E$6*(1-$B$8)</f>
        <v>2859690400</v>
      </c>
      <c r="D21" s="5">
        <f>ITU!F$6*(1-$B$8)</f>
        <v>2663016000</v>
      </c>
      <c r="E21" s="5">
        <f>ITU!G$6*(1-$B$8)</f>
        <v>2515443200</v>
      </c>
      <c r="F21" s="5">
        <f>E21*(1+$B$5)</f>
        <v>2515443200</v>
      </c>
      <c r="G21" s="5">
        <f t="shared" ref="G21" si="60">F21*(1+$B$5)</f>
        <v>2515443200</v>
      </c>
      <c r="H21" s="5">
        <f t="shared" ref="H21" si="61">G21*(1+$B$5)</f>
        <v>2515443200</v>
      </c>
      <c r="I21" s="5">
        <f t="shared" ref="I21" si="62">H21*(1+$B$5)</f>
        <v>2515443200</v>
      </c>
      <c r="J21" s="5">
        <f t="shared" ref="J21" si="63">I21*(1+$B$5)</f>
        <v>2515443200</v>
      </c>
      <c r="K21" s="5">
        <f t="shared" ref="K21" si="64">J21*(1+$B$5)</f>
        <v>2515443200</v>
      </c>
      <c r="L21" s="5">
        <f t="shared" ref="L21" si="65">K21*(1+$B$5)</f>
        <v>2515443200</v>
      </c>
      <c r="M21" s="5">
        <f t="shared" ref="M21" si="66">L21*(1+$B$5)</f>
        <v>2515443200</v>
      </c>
      <c r="N21" s="5">
        <f t="shared" ref="N21" si="67">M21*(1+$B$5)</f>
        <v>2515443200</v>
      </c>
      <c r="O21" s="5">
        <f t="shared" ref="O21" si="68">N21*(1+$B$5)</f>
        <v>2515443200</v>
      </c>
      <c r="P21" s="5">
        <f t="shared" ref="P21" si="69">O21*(1+$B$5)</f>
        <v>2515443200</v>
      </c>
      <c r="Q21" s="5">
        <f t="shared" ref="Q21" si="70">P21*(1+$B$5)</f>
        <v>2515443200</v>
      </c>
      <c r="R21" s="5">
        <f t="shared" ref="R21" si="71">Q21*(1+$B$5)</f>
        <v>2515443200</v>
      </c>
      <c r="S21" s="5">
        <f t="shared" ref="S21" si="72">R21*(1+$B$5)</f>
        <v>2515443200</v>
      </c>
      <c r="T21" s="5">
        <f t="shared" ref="T21" si="73">S21*(1+$B$5)</f>
        <v>2515443200</v>
      </c>
      <c r="U21" s="5">
        <f t="shared" ref="U21" si="74">T21*(1+$B$5)</f>
        <v>2515443200</v>
      </c>
    </row>
    <row r="22" spans="1:21" x14ac:dyDescent="0.25">
      <c r="A22" s="18" t="str">
        <v>High growth scenario</v>
      </c>
      <c r="B22" s="5">
        <f>ITU!D$6*(1-$B$8)</f>
        <v>2836947200</v>
      </c>
      <c r="C22" s="5">
        <f>ITU!E$6*(1-$B$8)</f>
        <v>2859690400</v>
      </c>
      <c r="D22" s="5">
        <f>ITU!F$6*(1-$B$8)</f>
        <v>2663016000</v>
      </c>
      <c r="E22" s="5">
        <f>ITU!G$6*(1-$B$8)</f>
        <v>2515443200</v>
      </c>
      <c r="F22" s="5">
        <f>E22*(1+$B$6)</f>
        <v>2528020415.9999995</v>
      </c>
      <c r="G22" s="5">
        <f t="shared" ref="G22" si="75">F22*(1+$B$6)</f>
        <v>2540660518.0799994</v>
      </c>
      <c r="H22" s="5">
        <f t="shared" ref="H22" si="76">G22*(1+$B$6)</f>
        <v>2553363820.6703992</v>
      </c>
      <c r="I22" s="5">
        <f t="shared" ref="I22" si="77">H22*(1+$B$6)</f>
        <v>2566130639.7737508</v>
      </c>
      <c r="J22" s="5">
        <f t="shared" ref="J22" si="78">I22*(1+$B$6)</f>
        <v>2578961292.9726191</v>
      </c>
      <c r="K22" s="5">
        <f t="shared" ref="K22" si="79">J22*(1+$B$6)</f>
        <v>2591856099.4374819</v>
      </c>
      <c r="L22" s="5">
        <f t="shared" ref="L22" si="80">K22*(1+$B$6)</f>
        <v>2604815379.934669</v>
      </c>
      <c r="M22" s="5">
        <f t="shared" ref="M22" si="81">L22*(1+$B$6)</f>
        <v>2617839456.834342</v>
      </c>
      <c r="N22" s="5">
        <f t="shared" ref="N22" si="82">M22*(1+$B$6)</f>
        <v>2630928654.1185136</v>
      </c>
      <c r="O22" s="5">
        <f t="shared" ref="O22" si="83">N22*(1+$B$6)</f>
        <v>2644083297.3891058</v>
      </c>
      <c r="P22" s="5">
        <f t="shared" ref="P22" si="84">O22*(1+$B$6)</f>
        <v>2657303713.8760509</v>
      </c>
      <c r="Q22" s="5">
        <f t="shared" ref="Q22" si="85">P22*(1+$B$6)</f>
        <v>2670590232.4454308</v>
      </c>
      <c r="R22" s="5">
        <f t="shared" ref="R22" si="86">Q22*(1+$B$6)</f>
        <v>2683943183.6076574</v>
      </c>
      <c r="S22" s="5">
        <f t="shared" ref="S22" si="87">R22*(1+$B$6)</f>
        <v>2697362899.5256953</v>
      </c>
      <c r="T22" s="5">
        <f t="shared" ref="T22" si="88">S22*(1+$B$6)</f>
        <v>2710849714.0233235</v>
      </c>
      <c r="U22" s="5">
        <f t="shared" ref="U22" si="89">T22*(1+$B$6)</f>
        <v>2724403962.5934401</v>
      </c>
    </row>
    <row r="24" spans="1:21" x14ac:dyDescent="0.25">
      <c r="A24" s="49" t="s">
        <v>185</v>
      </c>
      <c r="B24" s="50"/>
      <c r="C24" s="50"/>
      <c r="D24" s="50"/>
      <c r="E24" s="50"/>
      <c r="F24" s="50"/>
      <c r="G24" s="50"/>
      <c r="H24" s="50"/>
      <c r="I24" s="50"/>
      <c r="J24" s="50"/>
      <c r="K24" s="50"/>
      <c r="L24" s="50"/>
      <c r="M24" s="50"/>
      <c r="N24" s="50"/>
      <c r="O24" s="50"/>
      <c r="P24" s="50"/>
      <c r="Q24" s="50"/>
      <c r="R24" s="50"/>
      <c r="S24" s="50"/>
      <c r="T24" s="50"/>
      <c r="U24" s="50"/>
    </row>
    <row r="26" spans="1:21" x14ac:dyDescent="0.25">
      <c r="A26" s="201"/>
      <c r="B26" s="53">
        <f t="shared" ref="B26:U29" si="90">B19</f>
        <v>2018</v>
      </c>
      <c r="C26" s="53">
        <f t="shared" si="90"/>
        <v>2019</v>
      </c>
      <c r="D26" s="53">
        <f t="shared" si="90"/>
        <v>2020</v>
      </c>
      <c r="E26" s="53">
        <f t="shared" si="90"/>
        <v>2021</v>
      </c>
      <c r="F26" s="53">
        <f t="shared" si="90"/>
        <v>2022</v>
      </c>
      <c r="G26" s="53">
        <f t="shared" si="90"/>
        <v>2023</v>
      </c>
      <c r="H26" s="53">
        <f t="shared" si="90"/>
        <v>2024</v>
      </c>
      <c r="I26" s="53">
        <f t="shared" si="90"/>
        <v>2025</v>
      </c>
      <c r="J26" s="53">
        <f t="shared" si="90"/>
        <v>2026</v>
      </c>
      <c r="K26" s="53">
        <f t="shared" si="90"/>
        <v>2027</v>
      </c>
      <c r="L26" s="53">
        <f t="shared" si="90"/>
        <v>2028</v>
      </c>
      <c r="M26" s="53">
        <f t="shared" si="90"/>
        <v>2029</v>
      </c>
      <c r="N26" s="53">
        <f t="shared" si="90"/>
        <v>2030</v>
      </c>
      <c r="O26" s="53">
        <f t="shared" si="90"/>
        <v>2031</v>
      </c>
      <c r="P26" s="53">
        <f t="shared" si="90"/>
        <v>2032</v>
      </c>
      <c r="Q26" s="53">
        <f t="shared" si="90"/>
        <v>2033</v>
      </c>
      <c r="R26" s="53">
        <f t="shared" si="90"/>
        <v>2034</v>
      </c>
      <c r="S26" s="53">
        <f t="shared" si="90"/>
        <v>2035</v>
      </c>
      <c r="T26" s="53">
        <f t="shared" si="90"/>
        <v>2036</v>
      </c>
      <c r="U26" s="53">
        <f t="shared" si="90"/>
        <v>2037</v>
      </c>
    </row>
    <row r="27" spans="1:21" x14ac:dyDescent="0.25">
      <c r="A27" s="18" t="str">
        <f t="shared" ref="A27:P29" si="91">A20</f>
        <v>Low growth scenario</v>
      </c>
      <c r="B27" s="5">
        <f t="shared" si="91"/>
        <v>2836947200</v>
      </c>
      <c r="C27" s="5">
        <f t="shared" si="91"/>
        <v>2859690400</v>
      </c>
      <c r="D27" s="5">
        <f t="shared" si="91"/>
        <v>2663016000</v>
      </c>
      <c r="E27" s="5">
        <f t="shared" si="91"/>
        <v>2515443200</v>
      </c>
      <c r="F27" s="5">
        <f t="shared" si="91"/>
        <v>2502865984</v>
      </c>
      <c r="G27" s="5">
        <f t="shared" si="91"/>
        <v>2490351654.0799999</v>
      </c>
      <c r="H27" s="5">
        <f t="shared" si="91"/>
        <v>2477899895.8095999</v>
      </c>
      <c r="I27" s="5">
        <f t="shared" si="91"/>
        <v>2465510396.3305521</v>
      </c>
      <c r="J27" s="5">
        <f t="shared" si="91"/>
        <v>2453182844.3488994</v>
      </c>
      <c r="K27" s="5">
        <f t="shared" si="91"/>
        <v>2440916930.1271548</v>
      </c>
      <c r="L27" s="5">
        <f t="shared" si="91"/>
        <v>2428712345.4765191</v>
      </c>
      <c r="M27" s="5">
        <f t="shared" si="91"/>
        <v>2416568783.7491364</v>
      </c>
      <c r="N27" s="5">
        <f t="shared" si="91"/>
        <v>2404485939.8303909</v>
      </c>
      <c r="O27" s="5">
        <f t="shared" si="91"/>
        <v>2392463510.1312389</v>
      </c>
      <c r="P27" s="5">
        <f t="shared" si="91"/>
        <v>2380501192.5805826</v>
      </c>
      <c r="Q27" s="5">
        <f t="shared" si="90"/>
        <v>2368598686.6176796</v>
      </c>
      <c r="R27" s="5">
        <f t="shared" si="90"/>
        <v>2356755693.1845913</v>
      </c>
      <c r="S27" s="5">
        <f t="shared" si="90"/>
        <v>2344971914.7186685</v>
      </c>
      <c r="T27" s="5">
        <f t="shared" si="90"/>
        <v>2333247055.1450753</v>
      </c>
      <c r="U27" s="5">
        <f t="shared" si="90"/>
        <v>2321580819.86935</v>
      </c>
    </row>
    <row r="28" spans="1:21" x14ac:dyDescent="0.25">
      <c r="A28" s="18" t="str">
        <f t="shared" si="91"/>
        <v>Medium growth scenario</v>
      </c>
      <c r="B28" s="5">
        <f t="shared" si="90"/>
        <v>2836947200</v>
      </c>
      <c r="C28" s="5">
        <f t="shared" si="90"/>
        <v>2859690400</v>
      </c>
      <c r="D28" s="5">
        <f t="shared" si="90"/>
        <v>2663016000</v>
      </c>
      <c r="E28" s="5">
        <f t="shared" si="90"/>
        <v>2515443200</v>
      </c>
      <c r="F28" s="5">
        <f t="shared" si="90"/>
        <v>2515443200</v>
      </c>
      <c r="G28" s="5">
        <f t="shared" si="90"/>
        <v>2515443200</v>
      </c>
      <c r="H28" s="5">
        <f t="shared" si="90"/>
        <v>2515443200</v>
      </c>
      <c r="I28" s="5">
        <f t="shared" si="90"/>
        <v>2515443200</v>
      </c>
      <c r="J28" s="5">
        <f t="shared" si="90"/>
        <v>2515443200</v>
      </c>
      <c r="K28" s="5">
        <f t="shared" si="90"/>
        <v>2515443200</v>
      </c>
      <c r="L28" s="5">
        <f t="shared" si="90"/>
        <v>2515443200</v>
      </c>
      <c r="M28" s="5">
        <f t="shared" si="90"/>
        <v>2515443200</v>
      </c>
      <c r="N28" s="5">
        <f t="shared" si="90"/>
        <v>2515443200</v>
      </c>
      <c r="O28" s="5">
        <f t="shared" si="90"/>
        <v>2515443200</v>
      </c>
      <c r="P28" s="5">
        <f t="shared" si="90"/>
        <v>2515443200</v>
      </c>
      <c r="Q28" s="5">
        <f t="shared" si="90"/>
        <v>2515443200</v>
      </c>
      <c r="R28" s="5">
        <f t="shared" si="90"/>
        <v>2515443200</v>
      </c>
      <c r="S28" s="5">
        <f t="shared" si="90"/>
        <v>2515443200</v>
      </c>
      <c r="T28" s="5">
        <f t="shared" si="90"/>
        <v>2515443200</v>
      </c>
      <c r="U28" s="5">
        <f t="shared" si="90"/>
        <v>2515443200</v>
      </c>
    </row>
    <row r="29" spans="1:21" x14ac:dyDescent="0.25">
      <c r="A29" s="18" t="str">
        <f t="shared" si="91"/>
        <v>High growth scenario</v>
      </c>
      <c r="B29" s="5">
        <f t="shared" si="90"/>
        <v>2836947200</v>
      </c>
      <c r="C29" s="5">
        <f t="shared" si="90"/>
        <v>2859690400</v>
      </c>
      <c r="D29" s="5">
        <f t="shared" si="90"/>
        <v>2663016000</v>
      </c>
      <c r="E29" s="5">
        <f t="shared" si="90"/>
        <v>2515443200</v>
      </c>
      <c r="F29" s="5">
        <f t="shared" si="90"/>
        <v>2528020415.9999995</v>
      </c>
      <c r="G29" s="5">
        <f t="shared" si="90"/>
        <v>2540660518.0799994</v>
      </c>
      <c r="H29" s="5">
        <f t="shared" si="90"/>
        <v>2553363820.6703992</v>
      </c>
      <c r="I29" s="5">
        <f t="shared" si="90"/>
        <v>2566130639.7737508</v>
      </c>
      <c r="J29" s="5">
        <f t="shared" si="90"/>
        <v>2578961292.9726191</v>
      </c>
      <c r="K29" s="5">
        <f t="shared" si="90"/>
        <v>2591856099.4374819</v>
      </c>
      <c r="L29" s="5">
        <f t="shared" si="90"/>
        <v>2604815379.934669</v>
      </c>
      <c r="M29" s="5">
        <f t="shared" si="90"/>
        <v>2617839456.834342</v>
      </c>
      <c r="N29" s="5">
        <f t="shared" si="90"/>
        <v>2630928654.1185136</v>
      </c>
      <c r="O29" s="5">
        <f t="shared" si="90"/>
        <v>2644083297.3891058</v>
      </c>
      <c r="P29" s="5">
        <f t="shared" si="90"/>
        <v>2657303713.8760509</v>
      </c>
      <c r="Q29" s="5">
        <f t="shared" si="90"/>
        <v>2670590232.4454308</v>
      </c>
      <c r="R29" s="5">
        <f t="shared" si="90"/>
        <v>2683943183.6076574</v>
      </c>
      <c r="S29" s="5">
        <f t="shared" si="90"/>
        <v>2697362899.5256953</v>
      </c>
      <c r="T29" s="5">
        <f t="shared" si="90"/>
        <v>2710849714.0233235</v>
      </c>
      <c r="U29" s="5">
        <f t="shared" si="90"/>
        <v>2724403962.5934401</v>
      </c>
    </row>
    <row r="31" spans="1:21" x14ac:dyDescent="0.25">
      <c r="A31" s="49" t="str">
        <f>ITU!A7</f>
        <v>Fixed to Mobile Telephone traffic</v>
      </c>
      <c r="B31" s="50"/>
      <c r="C31" s="50"/>
      <c r="D31" s="50"/>
      <c r="E31" s="50"/>
      <c r="F31" s="50"/>
      <c r="G31" s="50"/>
      <c r="H31" s="50"/>
      <c r="I31" s="50"/>
      <c r="J31" s="50"/>
      <c r="K31" s="50"/>
      <c r="L31" s="50"/>
      <c r="M31" s="50"/>
      <c r="N31" s="50"/>
      <c r="O31" s="50"/>
      <c r="P31" s="50"/>
      <c r="Q31" s="50"/>
      <c r="R31" s="50"/>
      <c r="S31" s="50"/>
      <c r="T31" s="50"/>
      <c r="U31" s="50"/>
    </row>
    <row r="33" spans="1:21" x14ac:dyDescent="0.25">
      <c r="A33" s="201"/>
      <c r="B33" s="53" cm="1">
        <f t="array" ref="B33:U33">years</f>
        <v>2018</v>
      </c>
      <c r="C33" s="53">
        <v>2019</v>
      </c>
      <c r="D33" s="53">
        <v>2020</v>
      </c>
      <c r="E33" s="53">
        <v>2021</v>
      </c>
      <c r="F33" s="53">
        <v>2022</v>
      </c>
      <c r="G33" s="53">
        <v>2023</v>
      </c>
      <c r="H33" s="53">
        <v>2024</v>
      </c>
      <c r="I33" s="53">
        <v>2025</v>
      </c>
      <c r="J33" s="53">
        <v>2026</v>
      </c>
      <c r="K33" s="53">
        <v>2027</v>
      </c>
      <c r="L33" s="53">
        <v>2028</v>
      </c>
      <c r="M33" s="53">
        <v>2029</v>
      </c>
      <c r="N33" s="53">
        <v>2030</v>
      </c>
      <c r="O33" s="53">
        <v>2031</v>
      </c>
      <c r="P33" s="53">
        <v>2032</v>
      </c>
      <c r="Q33" s="53">
        <v>2033</v>
      </c>
      <c r="R33" s="53">
        <v>2034</v>
      </c>
      <c r="S33" s="53">
        <v>2035</v>
      </c>
      <c r="T33" s="53">
        <v>2036</v>
      </c>
      <c r="U33" s="53">
        <v>2037</v>
      </c>
    </row>
    <row r="34" spans="1:21" x14ac:dyDescent="0.25">
      <c r="A34" s="18" t="str" cm="1">
        <f t="array" ref="A34:A36">growth_scenarios</f>
        <v>Low growth scenario</v>
      </c>
      <c r="B34" s="5">
        <f>ITU!D$7</f>
        <v>8551483500</v>
      </c>
      <c r="C34" s="5">
        <f>ITU!E$7</f>
        <v>8327647999.999999</v>
      </c>
      <c r="D34" s="5">
        <f>ITU!F$7</f>
        <v>9636810000</v>
      </c>
      <c r="E34" s="5">
        <f>ITU!G$7</f>
        <v>9641760000</v>
      </c>
      <c r="F34" s="5">
        <f>E34*(1+$B$4)</f>
        <v>9593551200</v>
      </c>
      <c r="G34" s="5">
        <f t="shared" ref="G34" si="92">F34*(1+$B$4)</f>
        <v>9545583444</v>
      </c>
      <c r="H34" s="5">
        <f t="shared" ref="H34" si="93">G34*(1+$B$4)</f>
        <v>9497855526.7800007</v>
      </c>
      <c r="I34" s="5">
        <f t="shared" ref="I34" si="94">H34*(1+$B$4)</f>
        <v>9450366249.146101</v>
      </c>
      <c r="J34" s="5">
        <f t="shared" ref="J34" si="95">I34*(1+$B$4)</f>
        <v>9403114417.9003696</v>
      </c>
      <c r="K34" s="5">
        <f t="shared" ref="K34" si="96">J34*(1+$B$4)</f>
        <v>9356098845.8108673</v>
      </c>
      <c r="L34" s="5">
        <f t="shared" ref="L34" si="97">K34*(1+$B$4)</f>
        <v>9309318351.5818138</v>
      </c>
      <c r="M34" s="5">
        <f t="shared" ref="M34" si="98">L34*(1+$B$4)</f>
        <v>9262771759.823904</v>
      </c>
      <c r="N34" s="5">
        <f t="shared" ref="N34" si="99">M34*(1+$B$4)</f>
        <v>9216457901.0247841</v>
      </c>
      <c r="O34" s="5">
        <f t="shared" ref="O34" si="100">N34*(1+$B$4)</f>
        <v>9170375611.5196609</v>
      </c>
      <c r="P34" s="5">
        <f t="shared" ref="P34" si="101">O34*(1+$B$4)</f>
        <v>9124523733.4620628</v>
      </c>
      <c r="Q34" s="5">
        <f t="shared" ref="Q34" si="102">P34*(1+$B$4)</f>
        <v>9078901114.7947521</v>
      </c>
      <c r="R34" s="5">
        <f t="shared" ref="R34" si="103">Q34*(1+$B$4)</f>
        <v>9033506609.2207775</v>
      </c>
      <c r="S34" s="5">
        <f t="shared" ref="S34" si="104">R34*(1+$B$4)</f>
        <v>8988339076.1746731</v>
      </c>
      <c r="T34" s="5">
        <f t="shared" ref="T34" si="105">S34*(1+$B$4)</f>
        <v>8943397380.7938004</v>
      </c>
      <c r="U34" s="5">
        <f t="shared" ref="U34" si="106">T34*(1+$B$4)</f>
        <v>8898680393.8898315</v>
      </c>
    </row>
    <row r="35" spans="1:21" x14ac:dyDescent="0.25">
      <c r="A35" s="18" t="str">
        <v>Medium growth scenario</v>
      </c>
      <c r="B35" s="5">
        <f>ITU!D$7</f>
        <v>8551483500</v>
      </c>
      <c r="C35" s="5">
        <f>ITU!E$7</f>
        <v>8327647999.999999</v>
      </c>
      <c r="D35" s="5">
        <f>ITU!F$7</f>
        <v>9636810000</v>
      </c>
      <c r="E35" s="5">
        <f>ITU!G$7</f>
        <v>9641760000</v>
      </c>
      <c r="F35" s="5">
        <f>E35*(1+$B$5)</f>
        <v>9641760000</v>
      </c>
      <c r="G35" s="5">
        <f t="shared" ref="G35" si="107">F35*(1+$B$5)</f>
        <v>9641760000</v>
      </c>
      <c r="H35" s="5">
        <f t="shared" ref="H35" si="108">G35*(1+$B$5)</f>
        <v>9641760000</v>
      </c>
      <c r="I35" s="5">
        <f t="shared" ref="I35" si="109">H35*(1+$B$5)</f>
        <v>9641760000</v>
      </c>
      <c r="J35" s="5">
        <f t="shared" ref="J35" si="110">I35*(1+$B$5)</f>
        <v>9641760000</v>
      </c>
      <c r="K35" s="5">
        <f t="shared" ref="K35" si="111">J35*(1+$B$5)</f>
        <v>9641760000</v>
      </c>
      <c r="L35" s="5">
        <f t="shared" ref="L35" si="112">K35*(1+$B$5)</f>
        <v>9641760000</v>
      </c>
      <c r="M35" s="5">
        <f t="shared" ref="M35" si="113">L35*(1+$B$5)</f>
        <v>9641760000</v>
      </c>
      <c r="N35" s="5">
        <f t="shared" ref="N35" si="114">M35*(1+$B$5)</f>
        <v>9641760000</v>
      </c>
      <c r="O35" s="5">
        <f t="shared" ref="O35" si="115">N35*(1+$B$5)</f>
        <v>9641760000</v>
      </c>
      <c r="P35" s="5">
        <f t="shared" ref="P35" si="116">O35*(1+$B$5)</f>
        <v>9641760000</v>
      </c>
      <c r="Q35" s="5">
        <f t="shared" ref="Q35" si="117">P35*(1+$B$5)</f>
        <v>9641760000</v>
      </c>
      <c r="R35" s="5">
        <f t="shared" ref="R35" si="118">Q35*(1+$B$5)</f>
        <v>9641760000</v>
      </c>
      <c r="S35" s="5">
        <f t="shared" ref="S35" si="119">R35*(1+$B$5)</f>
        <v>9641760000</v>
      </c>
      <c r="T35" s="5">
        <f t="shared" ref="T35" si="120">S35*(1+$B$5)</f>
        <v>9641760000</v>
      </c>
      <c r="U35" s="5">
        <f t="shared" ref="U35" si="121">T35*(1+$B$5)</f>
        <v>9641760000</v>
      </c>
    </row>
    <row r="36" spans="1:21" x14ac:dyDescent="0.25">
      <c r="A36" s="18" t="str">
        <v>High growth scenario</v>
      </c>
      <c r="B36" s="5">
        <f>ITU!D$7</f>
        <v>8551483500</v>
      </c>
      <c r="C36" s="5">
        <f>ITU!E$7</f>
        <v>8327647999.999999</v>
      </c>
      <c r="D36" s="5">
        <f>ITU!F$7</f>
        <v>9636810000</v>
      </c>
      <c r="E36" s="5">
        <f>ITU!G$7</f>
        <v>9641760000</v>
      </c>
      <c r="F36" s="5">
        <f>E36*(1+$B$6)</f>
        <v>9689968799.9999981</v>
      </c>
      <c r="G36" s="5">
        <f t="shared" ref="G36" si="122">F36*(1+$B$6)</f>
        <v>9738418643.9999962</v>
      </c>
      <c r="H36" s="5">
        <f t="shared" ref="H36" si="123">G36*(1+$B$6)</f>
        <v>9787110737.2199955</v>
      </c>
      <c r="I36" s="5">
        <f t="shared" ref="I36" si="124">H36*(1+$B$6)</f>
        <v>9836046290.9060936</v>
      </c>
      <c r="J36" s="5">
        <f t="shared" ref="J36" si="125">I36*(1+$B$6)</f>
        <v>9885226522.3606224</v>
      </c>
      <c r="K36" s="5">
        <f t="shared" ref="K36" si="126">J36*(1+$B$6)</f>
        <v>9934652654.9724236</v>
      </c>
      <c r="L36" s="5">
        <f t="shared" ref="L36" si="127">K36*(1+$B$6)</f>
        <v>9984325918.2472839</v>
      </c>
      <c r="M36" s="5">
        <f t="shared" ref="M36" si="128">L36*(1+$B$6)</f>
        <v>10034247547.83852</v>
      </c>
      <c r="N36" s="5">
        <f t="shared" ref="N36" si="129">M36*(1+$B$6)</f>
        <v>10084418785.577711</v>
      </c>
      <c r="O36" s="5">
        <f t="shared" ref="O36" si="130">N36*(1+$B$6)</f>
        <v>10134840879.505598</v>
      </c>
      <c r="P36" s="5">
        <f t="shared" ref="P36" si="131">O36*(1+$B$6)</f>
        <v>10185515083.903126</v>
      </c>
      <c r="Q36" s="5">
        <f t="shared" ref="Q36" si="132">P36*(1+$B$6)</f>
        <v>10236442659.322639</v>
      </c>
      <c r="R36" s="5">
        <f t="shared" ref="R36" si="133">Q36*(1+$B$6)</f>
        <v>10287624872.619251</v>
      </c>
      <c r="S36" s="5">
        <f t="shared" ref="S36" si="134">R36*(1+$B$6)</f>
        <v>10339062996.982346</v>
      </c>
      <c r="T36" s="5">
        <f t="shared" ref="T36" si="135">S36*(1+$B$6)</f>
        <v>10390758311.967257</v>
      </c>
      <c r="U36" s="5">
        <f t="shared" ref="U36" si="136">T36*(1+$B$6)</f>
        <v>10442712103.527092</v>
      </c>
    </row>
    <row r="38" spans="1:21" x14ac:dyDescent="0.25">
      <c r="A38" s="49" t="str">
        <f>ITU!A11</f>
        <v>Outgoing mobile traffic to fixed networks</v>
      </c>
      <c r="B38" s="50"/>
      <c r="C38" s="50"/>
      <c r="D38" s="50"/>
      <c r="E38" s="50"/>
      <c r="F38" s="50"/>
      <c r="G38" s="50"/>
      <c r="H38" s="50"/>
      <c r="I38" s="50"/>
      <c r="J38" s="50"/>
      <c r="K38" s="50"/>
      <c r="L38" s="50"/>
      <c r="M38" s="50"/>
      <c r="N38" s="50"/>
      <c r="O38" s="50"/>
      <c r="P38" s="50"/>
      <c r="Q38" s="50"/>
      <c r="R38" s="50"/>
      <c r="S38" s="50"/>
      <c r="T38" s="50"/>
      <c r="U38" s="50"/>
    </row>
    <row r="40" spans="1:21" x14ac:dyDescent="0.25">
      <c r="A40" s="201"/>
      <c r="B40" s="53" cm="1">
        <f t="array" ref="B40:U40">years</f>
        <v>2018</v>
      </c>
      <c r="C40" s="53">
        <v>2019</v>
      </c>
      <c r="D40" s="53">
        <v>2020</v>
      </c>
      <c r="E40" s="53">
        <v>2021</v>
      </c>
      <c r="F40" s="53">
        <v>2022</v>
      </c>
      <c r="G40" s="53">
        <v>2023</v>
      </c>
      <c r="H40" s="53">
        <v>2024</v>
      </c>
      <c r="I40" s="53">
        <v>2025</v>
      </c>
      <c r="J40" s="53">
        <v>2026</v>
      </c>
      <c r="K40" s="53">
        <v>2027</v>
      </c>
      <c r="L40" s="53">
        <v>2028</v>
      </c>
      <c r="M40" s="53">
        <v>2029</v>
      </c>
      <c r="N40" s="53">
        <v>2030</v>
      </c>
      <c r="O40" s="53">
        <v>2031</v>
      </c>
      <c r="P40" s="53">
        <v>2032</v>
      </c>
      <c r="Q40" s="53">
        <v>2033</v>
      </c>
      <c r="R40" s="53">
        <v>2034</v>
      </c>
      <c r="S40" s="53">
        <v>2035</v>
      </c>
      <c r="T40" s="53">
        <v>2036</v>
      </c>
      <c r="U40" s="53">
        <v>2037</v>
      </c>
    </row>
    <row r="41" spans="1:21" x14ac:dyDescent="0.25">
      <c r="A41" s="18" t="str" cm="1">
        <f t="array" ref="A41:A43">growth_scenarios</f>
        <v>Low growth scenario</v>
      </c>
      <c r="B41" s="4">
        <f>ITU!D11</f>
        <v>2484972000</v>
      </c>
      <c r="C41" s="4">
        <f>ITU!E11</f>
        <v>3448648000</v>
      </c>
      <c r="D41" s="4">
        <f>ITU!F11</f>
        <v>4418355000</v>
      </c>
      <c r="E41" s="4">
        <f>ITU!G11</f>
        <v>4390736000</v>
      </c>
      <c r="F41" s="5">
        <f>E41*(1+$B$4)</f>
        <v>4368782320</v>
      </c>
      <c r="G41" s="5">
        <f t="shared" ref="G41" si="137">F41*(1+$B$4)</f>
        <v>4346938408.3999996</v>
      </c>
      <c r="H41" s="5">
        <f t="shared" ref="H41" si="138">G41*(1+$B$4)</f>
        <v>4325203716.3579998</v>
      </c>
      <c r="I41" s="5">
        <f t="shared" ref="I41" si="139">H41*(1+$B$4)</f>
        <v>4303577697.7762098</v>
      </c>
      <c r="J41" s="5">
        <f t="shared" ref="J41" si="140">I41*(1+$B$4)</f>
        <v>4282059809.2873287</v>
      </c>
      <c r="K41" s="5">
        <f t="shared" ref="K41" si="141">J41*(1+$B$4)</f>
        <v>4260649510.2408919</v>
      </c>
      <c r="L41" s="5">
        <f t="shared" ref="L41" si="142">K41*(1+$B$4)</f>
        <v>4239346262.6896873</v>
      </c>
      <c r="M41" s="5">
        <f t="shared" ref="M41" si="143">L41*(1+$B$4)</f>
        <v>4218149531.3762388</v>
      </c>
      <c r="N41" s="5">
        <f t="shared" ref="N41" si="144">M41*(1+$B$4)</f>
        <v>4197058783.7193575</v>
      </c>
      <c r="O41" s="5">
        <f t="shared" ref="O41" si="145">N41*(1+$B$4)</f>
        <v>4176073489.8007607</v>
      </c>
      <c r="P41" s="5">
        <f t="shared" ref="P41" si="146">O41*(1+$B$4)</f>
        <v>4155193122.351757</v>
      </c>
      <c r="Q41" s="5">
        <f t="shared" ref="Q41" si="147">P41*(1+$B$4)</f>
        <v>4134417156.7399983</v>
      </c>
      <c r="R41" s="5">
        <f t="shared" ref="R41" si="148">Q41*(1+$B$4)</f>
        <v>4113745070.9562984</v>
      </c>
      <c r="S41" s="5">
        <f t="shared" ref="S41" si="149">R41*(1+$B$4)</f>
        <v>4093176345.6015167</v>
      </c>
      <c r="T41" s="5">
        <f t="shared" ref="T41" si="150">S41*(1+$B$4)</f>
        <v>4072710463.8735089</v>
      </c>
      <c r="U41" s="5">
        <f t="shared" ref="U41" si="151">T41*(1+$B$4)</f>
        <v>4052346911.5541415</v>
      </c>
    </row>
    <row r="42" spans="1:21" x14ac:dyDescent="0.25">
      <c r="A42" s="18" t="str">
        <v>Medium growth scenario</v>
      </c>
      <c r="B42" s="4">
        <f>ITU!D$11</f>
        <v>2484972000</v>
      </c>
      <c r="C42" s="4">
        <f>ITU!E$11</f>
        <v>3448648000</v>
      </c>
      <c r="D42" s="4">
        <f>ITU!F$11</f>
        <v>4418355000</v>
      </c>
      <c r="E42" s="4">
        <f>ITU!G$11</f>
        <v>4390736000</v>
      </c>
      <c r="F42" s="5">
        <f>E42*(1+$B$5)</f>
        <v>4390736000</v>
      </c>
      <c r="G42" s="5">
        <f t="shared" ref="G42" si="152">F42*(1+$B$5)</f>
        <v>4390736000</v>
      </c>
      <c r="H42" s="5">
        <f t="shared" ref="H42" si="153">G42*(1+$B$5)</f>
        <v>4390736000</v>
      </c>
      <c r="I42" s="5">
        <f t="shared" ref="I42" si="154">H42*(1+$B$5)</f>
        <v>4390736000</v>
      </c>
      <c r="J42" s="5">
        <f t="shared" ref="J42" si="155">I42*(1+$B$5)</f>
        <v>4390736000</v>
      </c>
      <c r="K42" s="5">
        <f t="shared" ref="K42" si="156">J42*(1+$B$5)</f>
        <v>4390736000</v>
      </c>
      <c r="L42" s="5">
        <f t="shared" ref="L42" si="157">K42*(1+$B$5)</f>
        <v>4390736000</v>
      </c>
      <c r="M42" s="5">
        <f t="shared" ref="M42" si="158">L42*(1+$B$5)</f>
        <v>4390736000</v>
      </c>
      <c r="N42" s="5">
        <f t="shared" ref="N42" si="159">M42*(1+$B$5)</f>
        <v>4390736000</v>
      </c>
      <c r="O42" s="5">
        <f t="shared" ref="O42" si="160">N42*(1+$B$5)</f>
        <v>4390736000</v>
      </c>
      <c r="P42" s="5">
        <f t="shared" ref="P42" si="161">O42*(1+$B$5)</f>
        <v>4390736000</v>
      </c>
      <c r="Q42" s="5">
        <f t="shared" ref="Q42" si="162">P42*(1+$B$5)</f>
        <v>4390736000</v>
      </c>
      <c r="R42" s="5">
        <f t="shared" ref="R42" si="163">Q42*(1+$B$5)</f>
        <v>4390736000</v>
      </c>
      <c r="S42" s="5">
        <f t="shared" ref="S42" si="164">R42*(1+$B$5)</f>
        <v>4390736000</v>
      </c>
      <c r="T42" s="5">
        <f t="shared" ref="T42" si="165">S42*(1+$B$5)</f>
        <v>4390736000</v>
      </c>
      <c r="U42" s="5">
        <f t="shared" ref="U42" si="166">T42*(1+$B$5)</f>
        <v>4390736000</v>
      </c>
    </row>
    <row r="43" spans="1:21" x14ac:dyDescent="0.25">
      <c r="A43" s="18" t="str">
        <v>High growth scenario</v>
      </c>
      <c r="B43" s="4">
        <f>ITU!D$11</f>
        <v>2484972000</v>
      </c>
      <c r="C43" s="4">
        <f>ITU!E$11</f>
        <v>3448648000</v>
      </c>
      <c r="D43" s="4">
        <f>ITU!F$11</f>
        <v>4418355000</v>
      </c>
      <c r="E43" s="4">
        <f>ITU!G$11</f>
        <v>4390736000</v>
      </c>
      <c r="F43" s="5">
        <f>E43*(1+$B$6)</f>
        <v>4412689680</v>
      </c>
      <c r="G43" s="5">
        <f t="shared" ref="G43" si="167">F43*(1+$B$6)</f>
        <v>4434753128.3999996</v>
      </c>
      <c r="H43" s="5">
        <f t="shared" ref="H43" si="168">G43*(1+$B$6)</f>
        <v>4456926894.0419989</v>
      </c>
      <c r="I43" s="5">
        <f t="shared" ref="I43" si="169">H43*(1+$B$6)</f>
        <v>4479211528.512208</v>
      </c>
      <c r="J43" s="5">
        <f t="shared" ref="J43" si="170">I43*(1+$B$6)</f>
        <v>4501607586.1547689</v>
      </c>
      <c r="K43" s="5">
        <f t="shared" ref="K43" si="171">J43*(1+$B$6)</f>
        <v>4524115624.0855427</v>
      </c>
      <c r="L43" s="5">
        <f t="shared" ref="L43" si="172">K43*(1+$B$6)</f>
        <v>4546736202.2059698</v>
      </c>
      <c r="M43" s="5">
        <f t="shared" ref="M43" si="173">L43*(1+$B$6)</f>
        <v>4569469883.2169991</v>
      </c>
      <c r="N43" s="5">
        <f t="shared" ref="N43" si="174">M43*(1+$B$6)</f>
        <v>4592317232.6330833</v>
      </c>
      <c r="O43" s="5">
        <f t="shared" ref="O43" si="175">N43*(1+$B$6)</f>
        <v>4615278818.7962484</v>
      </c>
      <c r="P43" s="5">
        <f t="shared" ref="P43" si="176">O43*(1+$B$6)</f>
        <v>4638355212.8902292</v>
      </c>
      <c r="Q43" s="5">
        <f t="shared" ref="Q43" si="177">P43*(1+$B$6)</f>
        <v>4661546988.9546795</v>
      </c>
      <c r="R43" s="5">
        <f t="shared" ref="R43" si="178">Q43*(1+$B$6)</f>
        <v>4684854723.8994522</v>
      </c>
      <c r="S43" s="5">
        <f t="shared" ref="S43" si="179">R43*(1+$B$6)</f>
        <v>4708278997.5189486</v>
      </c>
      <c r="T43" s="5">
        <f t="shared" ref="T43" si="180">S43*(1+$B$6)</f>
        <v>4731820392.5065432</v>
      </c>
      <c r="U43" s="5">
        <f t="shared" ref="U43" si="181">T43*(1+$B$6)</f>
        <v>4755479494.4690752</v>
      </c>
    </row>
    <row r="45" spans="1:21" x14ac:dyDescent="0.25">
      <c r="A45" s="49" t="str">
        <f>ITU!A8</f>
        <v xml:space="preserve">International incoming fixed telephone traffic </v>
      </c>
      <c r="B45" s="50"/>
      <c r="C45" s="50"/>
      <c r="D45" s="50"/>
      <c r="E45" s="50"/>
      <c r="F45" s="50"/>
      <c r="G45" s="50"/>
      <c r="H45" s="50"/>
      <c r="I45" s="50"/>
      <c r="J45" s="50"/>
      <c r="K45" s="50"/>
      <c r="L45" s="50"/>
      <c r="M45" s="50"/>
      <c r="N45" s="50"/>
      <c r="O45" s="50"/>
      <c r="P45" s="50"/>
      <c r="Q45" s="50"/>
      <c r="R45" s="50"/>
      <c r="S45" s="50"/>
      <c r="T45" s="50"/>
      <c r="U45" s="50"/>
    </row>
    <row r="46" spans="1:21" x14ac:dyDescent="0.25">
      <c r="A46" s="22"/>
    </row>
    <row r="47" spans="1:21" x14ac:dyDescent="0.25">
      <c r="A47" s="201"/>
      <c r="B47" s="53" cm="1">
        <f t="array" ref="B47:U47">years</f>
        <v>2018</v>
      </c>
      <c r="C47" s="53">
        <v>2019</v>
      </c>
      <c r="D47" s="53">
        <v>2020</v>
      </c>
      <c r="E47" s="53">
        <v>2021</v>
      </c>
      <c r="F47" s="53">
        <v>2022</v>
      </c>
      <c r="G47" s="53">
        <v>2023</v>
      </c>
      <c r="H47" s="53">
        <v>2024</v>
      </c>
      <c r="I47" s="53">
        <v>2025</v>
      </c>
      <c r="J47" s="53">
        <v>2026</v>
      </c>
      <c r="K47" s="53">
        <v>2027</v>
      </c>
      <c r="L47" s="53">
        <v>2028</v>
      </c>
      <c r="M47" s="53">
        <v>2029</v>
      </c>
      <c r="N47" s="53">
        <v>2030</v>
      </c>
      <c r="O47" s="53">
        <v>2031</v>
      </c>
      <c r="P47" s="53">
        <v>2032</v>
      </c>
      <c r="Q47" s="53">
        <v>2033</v>
      </c>
      <c r="R47" s="53">
        <v>2034</v>
      </c>
      <c r="S47" s="53">
        <v>2035</v>
      </c>
      <c r="T47" s="53">
        <v>2036</v>
      </c>
      <c r="U47" s="53">
        <v>2037</v>
      </c>
    </row>
    <row r="48" spans="1:21" x14ac:dyDescent="0.25">
      <c r="A48" s="18" t="str" cm="1">
        <f t="array" ref="A48:A50">growth_scenarios</f>
        <v>Low growth scenario</v>
      </c>
      <c r="B48" s="5">
        <f>ITU!D$8</f>
        <v>378786450</v>
      </c>
      <c r="C48" s="5">
        <f>ITU!E$8</f>
        <v>221337200</v>
      </c>
      <c r="D48" s="5">
        <f>ITU!F$8</f>
        <v>154762500</v>
      </c>
      <c r="E48" s="5">
        <f>ITU!G$8</f>
        <v>72205760</v>
      </c>
      <c r="F48" s="5">
        <f>E48*(1+$B$4)</f>
        <v>71844731.200000003</v>
      </c>
      <c r="G48" s="5">
        <f t="shared" ref="G48" si="182">F48*(1+$B$4)</f>
        <v>71485507.544</v>
      </c>
      <c r="H48" s="5">
        <f t="shared" ref="H48" si="183">G48*(1+$B$4)</f>
        <v>71128080.006280005</v>
      </c>
      <c r="I48" s="5">
        <f t="shared" ref="I48" si="184">H48*(1+$B$4)</f>
        <v>70772439.606248602</v>
      </c>
      <c r="J48" s="5">
        <f t="shared" ref="J48" si="185">I48*(1+$B$4)</f>
        <v>70418577.408217356</v>
      </c>
      <c r="K48" s="5">
        <f t="shared" ref="K48" si="186">J48*(1+$B$4)</f>
        <v>70066484.521176264</v>
      </c>
      <c r="L48" s="5">
        <f t="shared" ref="L48" si="187">K48*(1+$B$4)</f>
        <v>69716152.098570377</v>
      </c>
      <c r="M48" s="5">
        <f t="shared" ref="M48" si="188">L48*(1+$B$4)</f>
        <v>69367571.33807753</v>
      </c>
      <c r="N48" s="5">
        <f t="shared" ref="N48" si="189">M48*(1+$B$4)</f>
        <v>69020733.481387138</v>
      </c>
      <c r="O48" s="5">
        <f t="shared" ref="O48" si="190">N48*(1+$B$4)</f>
        <v>68675629.813980207</v>
      </c>
      <c r="P48" s="5">
        <f t="shared" ref="P48" si="191">O48*(1+$B$4)</f>
        <v>68332251.664910302</v>
      </c>
      <c r="Q48" s="5">
        <f t="shared" ref="Q48" si="192">P48*(1+$B$4)</f>
        <v>67990590.406585753</v>
      </c>
      <c r="R48" s="5">
        <f t="shared" ref="R48" si="193">Q48*(1+$B$4)</f>
        <v>67650637.454552829</v>
      </c>
      <c r="S48" s="5">
        <f t="shared" ref="S48" si="194">R48*(1+$B$4)</f>
        <v>67312384.267280072</v>
      </c>
      <c r="T48" s="5">
        <f t="shared" ref="T48" si="195">S48*(1+$B$4)</f>
        <v>66975822.345943674</v>
      </c>
      <c r="U48" s="5">
        <f t="shared" ref="U48" si="196">T48*(1+$B$4)</f>
        <v>66640943.234213956</v>
      </c>
    </row>
    <row r="49" spans="1:21" x14ac:dyDescent="0.25">
      <c r="A49" s="18" t="str">
        <v>Medium growth scenario</v>
      </c>
      <c r="B49" s="5">
        <f>ITU!D$8</f>
        <v>378786450</v>
      </c>
      <c r="C49" s="5">
        <f>ITU!E$8</f>
        <v>221337200</v>
      </c>
      <c r="D49" s="5">
        <f>ITU!F$8</f>
        <v>154762500</v>
      </c>
      <c r="E49" s="5">
        <f>ITU!G$8</f>
        <v>72205760</v>
      </c>
      <c r="F49" s="5">
        <f>E49*(1+$B$5)</f>
        <v>72205760</v>
      </c>
      <c r="G49" s="5">
        <f t="shared" ref="G49" si="197">F49*(1+$B$5)</f>
        <v>72205760</v>
      </c>
      <c r="H49" s="5">
        <f t="shared" ref="H49" si="198">G49*(1+$B$5)</f>
        <v>72205760</v>
      </c>
      <c r="I49" s="5">
        <f t="shared" ref="I49" si="199">H49*(1+$B$5)</f>
        <v>72205760</v>
      </c>
      <c r="J49" s="5">
        <f t="shared" ref="J49" si="200">I49*(1+$B$5)</f>
        <v>72205760</v>
      </c>
      <c r="K49" s="5">
        <f t="shared" ref="K49" si="201">J49*(1+$B$5)</f>
        <v>72205760</v>
      </c>
      <c r="L49" s="5">
        <f t="shared" ref="L49" si="202">K49*(1+$B$5)</f>
        <v>72205760</v>
      </c>
      <c r="M49" s="5">
        <f t="shared" ref="M49" si="203">L49*(1+$B$5)</f>
        <v>72205760</v>
      </c>
      <c r="N49" s="5">
        <f t="shared" ref="N49" si="204">M49*(1+$B$5)</f>
        <v>72205760</v>
      </c>
      <c r="O49" s="5">
        <f t="shared" ref="O49" si="205">N49*(1+$B$5)</f>
        <v>72205760</v>
      </c>
      <c r="P49" s="5">
        <f t="shared" ref="P49" si="206">O49*(1+$B$5)</f>
        <v>72205760</v>
      </c>
      <c r="Q49" s="5">
        <f t="shared" ref="Q49" si="207">P49*(1+$B$5)</f>
        <v>72205760</v>
      </c>
      <c r="R49" s="5">
        <f t="shared" ref="R49" si="208">Q49*(1+$B$5)</f>
        <v>72205760</v>
      </c>
      <c r="S49" s="5">
        <f t="shared" ref="S49" si="209">R49*(1+$B$5)</f>
        <v>72205760</v>
      </c>
      <c r="T49" s="5">
        <f t="shared" ref="T49" si="210">S49*(1+$B$5)</f>
        <v>72205760</v>
      </c>
      <c r="U49" s="5">
        <f t="shared" ref="U49" si="211">T49*(1+$B$5)</f>
        <v>72205760</v>
      </c>
    </row>
    <row r="50" spans="1:21" x14ac:dyDescent="0.25">
      <c r="A50" s="18" t="str">
        <v>High growth scenario</v>
      </c>
      <c r="B50" s="5">
        <f>ITU!D$8</f>
        <v>378786450</v>
      </c>
      <c r="C50" s="5">
        <f>ITU!E$8</f>
        <v>221337200</v>
      </c>
      <c r="D50" s="5">
        <f>ITU!F$8</f>
        <v>154762500</v>
      </c>
      <c r="E50" s="5">
        <f>ITU!G$8</f>
        <v>72205760</v>
      </c>
      <c r="F50" s="5">
        <f>E50*(1+$B$6)</f>
        <v>72566788.799999997</v>
      </c>
      <c r="G50" s="5">
        <f t="shared" ref="G50" si="212">F50*(1+$B$6)</f>
        <v>72929622.743999988</v>
      </c>
      <c r="H50" s="5">
        <f t="shared" ref="H50" si="213">G50*(1+$B$6)</f>
        <v>73294270.857719973</v>
      </c>
      <c r="I50" s="5">
        <f t="shared" ref="I50" si="214">H50*(1+$B$6)</f>
        <v>73660742.212008566</v>
      </c>
      <c r="J50" s="5">
        <f t="shared" ref="J50" si="215">I50*(1+$B$6)</f>
        <v>74029045.923068598</v>
      </c>
      <c r="K50" s="5">
        <f t="shared" ref="K50" si="216">J50*(1+$B$6)</f>
        <v>74399191.152683929</v>
      </c>
      <c r="L50" s="5">
        <f t="shared" ref="L50" si="217">K50*(1+$B$6)</f>
        <v>74771187.108447343</v>
      </c>
      <c r="M50" s="5">
        <f t="shared" ref="M50" si="218">L50*(1+$B$6)</f>
        <v>75145043.043989569</v>
      </c>
      <c r="N50" s="5">
        <f t="shared" ref="N50" si="219">M50*(1+$B$6)</f>
        <v>75520768.259209514</v>
      </c>
      <c r="O50" s="5">
        <f t="shared" ref="O50" si="220">N50*(1+$B$6)</f>
        <v>75898372.100505561</v>
      </c>
      <c r="P50" s="5">
        <f t="shared" ref="P50" si="221">O50*(1+$B$6)</f>
        <v>76277863.961008087</v>
      </c>
      <c r="Q50" s="5">
        <f t="shared" ref="Q50" si="222">P50*(1+$B$6)</f>
        <v>76659253.280813113</v>
      </c>
      <c r="R50" s="5">
        <f t="shared" ref="R50" si="223">Q50*(1+$B$6)</f>
        <v>77042549.547217175</v>
      </c>
      <c r="S50" s="5">
        <f t="shared" ref="S50" si="224">R50*(1+$B$6)</f>
        <v>77427762.294953257</v>
      </c>
      <c r="T50" s="5">
        <f t="shared" ref="T50" si="225">S50*(1+$B$6)</f>
        <v>77814901.106428012</v>
      </c>
      <c r="U50" s="5">
        <f t="shared" ref="U50" si="226">T50*(1+$B$6)</f>
        <v>78203975.611960143</v>
      </c>
    </row>
    <row r="52" spans="1:21" x14ac:dyDescent="0.25">
      <c r="A52" s="49" t="str">
        <f>ITU!A9</f>
        <v>International outgoing fixed telephone traffic</v>
      </c>
      <c r="B52" s="50"/>
      <c r="C52" s="50"/>
      <c r="D52" s="50"/>
      <c r="E52" s="50"/>
      <c r="F52" s="50"/>
      <c r="G52" s="50"/>
      <c r="H52" s="50"/>
      <c r="I52" s="50"/>
      <c r="J52" s="50"/>
      <c r="K52" s="50"/>
      <c r="L52" s="50"/>
      <c r="M52" s="50"/>
      <c r="N52" s="50"/>
      <c r="O52" s="50"/>
      <c r="P52" s="50"/>
      <c r="Q52" s="50"/>
      <c r="R52" s="50"/>
      <c r="S52" s="50"/>
      <c r="T52" s="50"/>
      <c r="U52" s="50"/>
    </row>
    <row r="53" spans="1:21" x14ac:dyDescent="0.25">
      <c r="A53" s="22"/>
    </row>
    <row r="54" spans="1:21" x14ac:dyDescent="0.25">
      <c r="A54" s="201"/>
      <c r="B54" s="53" cm="1">
        <f t="array" ref="B54:U54">years</f>
        <v>2018</v>
      </c>
      <c r="C54" s="53">
        <v>2019</v>
      </c>
      <c r="D54" s="53">
        <v>2020</v>
      </c>
      <c r="E54" s="53">
        <v>2021</v>
      </c>
      <c r="F54" s="53">
        <v>2022</v>
      </c>
      <c r="G54" s="53">
        <v>2023</v>
      </c>
      <c r="H54" s="53">
        <v>2024</v>
      </c>
      <c r="I54" s="53">
        <v>2025</v>
      </c>
      <c r="J54" s="53">
        <v>2026</v>
      </c>
      <c r="K54" s="53">
        <v>2027</v>
      </c>
      <c r="L54" s="53">
        <v>2028</v>
      </c>
      <c r="M54" s="53">
        <v>2029</v>
      </c>
      <c r="N54" s="53">
        <v>2030</v>
      </c>
      <c r="O54" s="53">
        <v>2031</v>
      </c>
      <c r="P54" s="53">
        <v>2032</v>
      </c>
      <c r="Q54" s="53">
        <v>2033</v>
      </c>
      <c r="R54" s="53">
        <v>2034</v>
      </c>
      <c r="S54" s="53">
        <v>2035</v>
      </c>
      <c r="T54" s="53">
        <v>2036</v>
      </c>
      <c r="U54" s="53">
        <v>2037</v>
      </c>
    </row>
    <row r="55" spans="1:21" x14ac:dyDescent="0.25">
      <c r="A55" s="18" t="str" cm="1">
        <f t="array" ref="A55:A57">growth_scenarios</f>
        <v>Low growth scenario</v>
      </c>
      <c r="B55" s="5">
        <f>ITU!D$9</f>
        <v>374236800</v>
      </c>
      <c r="C55" s="5">
        <f>ITU!E$9</f>
        <v>111742120</v>
      </c>
      <c r="D55" s="5">
        <f>ITU!F$9</f>
        <v>122423250</v>
      </c>
      <c r="E55" s="5">
        <f>ITU!G$9</f>
        <v>103893760</v>
      </c>
      <c r="F55" s="5">
        <f>E55*(1+$B$4)</f>
        <v>103374291.2</v>
      </c>
      <c r="G55" s="5">
        <f t="shared" ref="G55" si="227">F55*(1+$B$4)</f>
        <v>102857419.744</v>
      </c>
      <c r="H55" s="5">
        <f t="shared" ref="H55" si="228">G55*(1+$B$4)</f>
        <v>102343132.64528</v>
      </c>
      <c r="I55" s="5">
        <f t="shared" ref="I55" si="229">H55*(1+$B$4)</f>
        <v>101831416.98205361</v>
      </c>
      <c r="J55" s="5">
        <f t="shared" ref="J55" si="230">I55*(1+$B$4)</f>
        <v>101322259.89714333</v>
      </c>
      <c r="K55" s="5">
        <f t="shared" ref="K55" si="231">J55*(1+$B$4)</f>
        <v>100815648.59765762</v>
      </c>
      <c r="L55" s="5">
        <f t="shared" ref="L55" si="232">K55*(1+$B$4)</f>
        <v>100311570.35466933</v>
      </c>
      <c r="M55" s="5">
        <f t="shared" ref="M55" si="233">L55*(1+$B$4)</f>
        <v>99810012.502895981</v>
      </c>
      <c r="N55" s="5">
        <f t="shared" ref="N55" si="234">M55*(1+$B$4)</f>
        <v>99310962.440381497</v>
      </c>
      <c r="O55" s="5">
        <f t="shared" ref="O55" si="235">N55*(1+$B$4)</f>
        <v>98814407.628179595</v>
      </c>
      <c r="P55" s="5">
        <f t="shared" ref="P55" si="236">O55*(1+$B$4)</f>
        <v>98320335.590038702</v>
      </c>
      <c r="Q55" s="5">
        <f t="shared" ref="Q55" si="237">P55*(1+$B$4)</f>
        <v>97828733.912088513</v>
      </c>
      <c r="R55" s="5">
        <f t="shared" ref="R55" si="238">Q55*(1+$B$4)</f>
        <v>97339590.242528066</v>
      </c>
      <c r="S55" s="5">
        <f t="shared" ref="S55" si="239">R55*(1+$B$4)</f>
        <v>96852892.291315421</v>
      </c>
      <c r="T55" s="5">
        <f t="shared" ref="T55" si="240">S55*(1+$B$4)</f>
        <v>96368627.82985884</v>
      </c>
      <c r="U55" s="5">
        <f t="shared" ref="U55" si="241">T55*(1+$B$4)</f>
        <v>95886784.690709546</v>
      </c>
    </row>
    <row r="56" spans="1:21" x14ac:dyDescent="0.25">
      <c r="A56" s="18" t="str">
        <v>Medium growth scenario</v>
      </c>
      <c r="B56" s="5">
        <f>ITU!D$9</f>
        <v>374236800</v>
      </c>
      <c r="C56" s="5">
        <f>ITU!E$9</f>
        <v>111742120</v>
      </c>
      <c r="D56" s="5">
        <f>ITU!F$9</f>
        <v>122423250</v>
      </c>
      <c r="E56" s="5">
        <f>ITU!G$9</f>
        <v>103893760</v>
      </c>
      <c r="F56" s="5">
        <f>E56*(1+$B$5)</f>
        <v>103893760</v>
      </c>
      <c r="G56" s="5">
        <f t="shared" ref="G56" si="242">F56*(1+$B$5)</f>
        <v>103893760</v>
      </c>
      <c r="H56" s="5">
        <f t="shared" ref="H56" si="243">G56*(1+$B$5)</f>
        <v>103893760</v>
      </c>
      <c r="I56" s="5">
        <f t="shared" ref="I56" si="244">H56*(1+$B$5)</f>
        <v>103893760</v>
      </c>
      <c r="J56" s="5">
        <f t="shared" ref="J56" si="245">I56*(1+$B$5)</f>
        <v>103893760</v>
      </c>
      <c r="K56" s="5">
        <f t="shared" ref="K56" si="246">J56*(1+$B$5)</f>
        <v>103893760</v>
      </c>
      <c r="L56" s="5">
        <f t="shared" ref="L56" si="247">K56*(1+$B$5)</f>
        <v>103893760</v>
      </c>
      <c r="M56" s="5">
        <f t="shared" ref="M56" si="248">L56*(1+$B$5)</f>
        <v>103893760</v>
      </c>
      <c r="N56" s="5">
        <f t="shared" ref="N56" si="249">M56*(1+$B$5)</f>
        <v>103893760</v>
      </c>
      <c r="O56" s="5">
        <f t="shared" ref="O56" si="250">N56*(1+$B$5)</f>
        <v>103893760</v>
      </c>
      <c r="P56" s="5">
        <f t="shared" ref="P56" si="251">O56*(1+$B$5)</f>
        <v>103893760</v>
      </c>
      <c r="Q56" s="5">
        <f t="shared" ref="Q56" si="252">P56*(1+$B$5)</f>
        <v>103893760</v>
      </c>
      <c r="R56" s="5">
        <f t="shared" ref="R56" si="253">Q56*(1+$B$5)</f>
        <v>103893760</v>
      </c>
      <c r="S56" s="5">
        <f t="shared" ref="S56" si="254">R56*(1+$B$5)</f>
        <v>103893760</v>
      </c>
      <c r="T56" s="5">
        <f t="shared" ref="T56" si="255">S56*(1+$B$5)</f>
        <v>103893760</v>
      </c>
      <c r="U56" s="5">
        <f t="shared" ref="U56" si="256">T56*(1+$B$5)</f>
        <v>103893760</v>
      </c>
    </row>
    <row r="57" spans="1:21" x14ac:dyDescent="0.25">
      <c r="A57" s="18" t="str">
        <v>High growth scenario</v>
      </c>
      <c r="B57" s="5">
        <f>ITU!D$9</f>
        <v>374236800</v>
      </c>
      <c r="C57" s="5">
        <f>ITU!E$9</f>
        <v>111742120</v>
      </c>
      <c r="D57" s="5">
        <f>ITU!F$9</f>
        <v>122423250</v>
      </c>
      <c r="E57" s="5">
        <f>ITU!G$9</f>
        <v>103893760</v>
      </c>
      <c r="F57" s="5">
        <f>E57*(1+$B$6)</f>
        <v>104413228.79999998</v>
      </c>
      <c r="G57" s="5">
        <f t="shared" ref="G57" si="257">F57*(1+$B$6)</f>
        <v>104935294.94399998</v>
      </c>
      <c r="H57" s="5">
        <f t="shared" ref="H57" si="258">G57*(1+$B$6)</f>
        <v>105459971.41871996</v>
      </c>
      <c r="I57" s="5">
        <f t="shared" ref="I57" si="259">H57*(1+$B$6)</f>
        <v>105987271.27581355</v>
      </c>
      <c r="J57" s="5">
        <f t="shared" ref="J57" si="260">I57*(1+$B$6)</f>
        <v>106517207.63219261</v>
      </c>
      <c r="K57" s="5">
        <f t="shared" ref="K57" si="261">J57*(1+$B$6)</f>
        <v>107049793.67035356</v>
      </c>
      <c r="L57" s="5">
        <f t="shared" ref="L57" si="262">K57*(1+$B$6)</f>
        <v>107585042.63870531</v>
      </c>
      <c r="M57" s="5">
        <f t="shared" ref="M57" si="263">L57*(1+$B$6)</f>
        <v>108122967.85189883</v>
      </c>
      <c r="N57" s="5">
        <f t="shared" ref="N57" si="264">M57*(1+$B$6)</f>
        <v>108663582.69115831</v>
      </c>
      <c r="O57" s="5">
        <f t="shared" ref="O57" si="265">N57*(1+$B$6)</f>
        <v>109206900.60461409</v>
      </c>
      <c r="P57" s="5">
        <f t="shared" ref="P57" si="266">O57*(1+$B$6)</f>
        <v>109752935.10763715</v>
      </c>
      <c r="Q57" s="5">
        <f t="shared" ref="Q57" si="267">P57*(1+$B$6)</f>
        <v>110301699.78317532</v>
      </c>
      <c r="R57" s="5">
        <f t="shared" ref="R57" si="268">Q57*(1+$B$6)</f>
        <v>110853208.28209119</v>
      </c>
      <c r="S57" s="5">
        <f t="shared" ref="S57" si="269">R57*(1+$B$6)</f>
        <v>111407474.32350163</v>
      </c>
      <c r="T57" s="5">
        <f t="shared" ref="T57" si="270">S57*(1+$B$6)</f>
        <v>111964511.69511913</v>
      </c>
      <c r="U57" s="5">
        <f t="shared" ref="U57" si="271">T57*(1+$B$6)</f>
        <v>112524334.25359471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1682D-F597-43EA-968D-37EBA0DD5FB1}">
  <dimension ref="A1:H92"/>
  <sheetViews>
    <sheetView workbookViewId="0">
      <selection sqref="A1:XFD1"/>
    </sheetView>
  </sheetViews>
  <sheetFormatPr defaultColWidth="15.7109375" defaultRowHeight="15" x14ac:dyDescent="0.25"/>
  <cols>
    <col min="1" max="1" width="60.7109375" style="40" customWidth="1"/>
    <col min="2" max="4" width="19.28515625" style="13" bestFit="1" customWidth="1"/>
    <col min="5" max="5" width="19.42578125" style="13" bestFit="1" customWidth="1"/>
    <col min="6" max="6" width="19.28515625" style="13" bestFit="1" customWidth="1"/>
    <col min="7" max="7" width="17.28515625" style="13" bestFit="1" customWidth="1"/>
    <col min="8" max="16384" width="15.7109375" style="13"/>
  </cols>
  <sheetData>
    <row r="1" spans="1:7" ht="18.75" x14ac:dyDescent="0.3">
      <c r="A1" s="56" t="s">
        <v>186</v>
      </c>
    </row>
    <row r="2" spans="1:7" x14ac:dyDescent="0.25">
      <c r="A2" s="57"/>
    </row>
    <row r="3" spans="1:7" x14ac:dyDescent="0.25">
      <c r="A3" s="68" t="s">
        <v>187</v>
      </c>
    </row>
    <row r="4" spans="1:7" x14ac:dyDescent="0.25">
      <c r="A4" s="58"/>
    </row>
    <row r="5" spans="1:7" ht="30" x14ac:dyDescent="0.25">
      <c r="A5" s="152" t="s">
        <v>188</v>
      </c>
    </row>
    <row r="7" spans="1:7" x14ac:dyDescent="0.25">
      <c r="A7" s="57" t="s">
        <v>189</v>
      </c>
      <c r="B7" s="13" t="s">
        <v>190</v>
      </c>
    </row>
    <row r="8" spans="1:7" x14ac:dyDescent="0.25">
      <c r="A8" s="55"/>
      <c r="B8" s="53"/>
      <c r="C8" s="53">
        <v>2018</v>
      </c>
      <c r="D8" s="53">
        <v>2019</v>
      </c>
      <c r="E8" s="53">
        <v>2020</v>
      </c>
      <c r="F8" s="53">
        <v>2021</v>
      </c>
      <c r="G8" s="59"/>
    </row>
    <row r="9" spans="1:7" x14ac:dyDescent="0.25">
      <c r="A9" s="32" t="s">
        <v>191</v>
      </c>
      <c r="B9" s="69"/>
      <c r="C9" s="69">
        <v>187587374843</v>
      </c>
      <c r="D9" s="69">
        <v>194284132172</v>
      </c>
      <c r="E9" s="69">
        <v>201254592538</v>
      </c>
      <c r="F9" s="69">
        <v>200250923462</v>
      </c>
    </row>
    <row r="10" spans="1:7" x14ac:dyDescent="0.25">
      <c r="A10" s="32" t="s">
        <v>192</v>
      </c>
      <c r="B10" s="69"/>
      <c r="C10" s="69">
        <v>99569265222</v>
      </c>
      <c r="D10" s="69">
        <v>98071800081</v>
      </c>
      <c r="E10" s="69">
        <v>105670253917</v>
      </c>
      <c r="F10" s="69">
        <v>113945854241</v>
      </c>
    </row>
    <row r="11" spans="1:7" x14ac:dyDescent="0.25">
      <c r="A11" s="32" t="s">
        <v>193</v>
      </c>
      <c r="B11" s="69"/>
      <c r="C11" s="69">
        <v>57011037623</v>
      </c>
      <c r="D11" s="69">
        <v>58768274771</v>
      </c>
      <c r="E11" s="69">
        <v>62165693130</v>
      </c>
      <c r="F11" s="69">
        <v>56294725060</v>
      </c>
    </row>
    <row r="12" spans="1:7" x14ac:dyDescent="0.25">
      <c r="A12" s="32" t="s">
        <v>194</v>
      </c>
      <c r="B12" s="69"/>
      <c r="C12" s="69">
        <v>19078304740</v>
      </c>
      <c r="D12" s="69">
        <v>26790096707</v>
      </c>
      <c r="E12" s="69">
        <v>25335440726</v>
      </c>
      <c r="F12" s="69">
        <v>23493901812</v>
      </c>
    </row>
    <row r="13" spans="1:7" x14ac:dyDescent="0.25">
      <c r="A13" s="32" t="s">
        <v>195</v>
      </c>
      <c r="B13" s="69"/>
      <c r="C13" s="69">
        <v>11928767258</v>
      </c>
      <c r="D13" s="69">
        <v>10653960614</v>
      </c>
      <c r="E13" s="69">
        <v>8083204765</v>
      </c>
      <c r="F13" s="69">
        <v>6516442350</v>
      </c>
    </row>
    <row r="16" spans="1:7" x14ac:dyDescent="0.25">
      <c r="A16" s="57" t="s">
        <v>196</v>
      </c>
      <c r="B16" s="13" t="s">
        <v>197</v>
      </c>
    </row>
    <row r="17" spans="1:7" x14ac:dyDescent="0.25">
      <c r="A17" s="55"/>
      <c r="B17" s="54"/>
      <c r="C17" s="54">
        <v>2018</v>
      </c>
      <c r="D17" s="54">
        <v>2019</v>
      </c>
      <c r="E17" s="54">
        <v>2020</v>
      </c>
      <c r="F17" s="54">
        <v>2021</v>
      </c>
    </row>
    <row r="18" spans="1:7" x14ac:dyDescent="0.25">
      <c r="A18" s="32" t="s">
        <v>192</v>
      </c>
      <c r="B18" s="69"/>
      <c r="C18" s="69">
        <v>99569265222</v>
      </c>
      <c r="D18" s="70">
        <v>98071800081</v>
      </c>
      <c r="E18" s="69">
        <v>105670253917</v>
      </c>
      <c r="F18" s="69">
        <v>113945854241</v>
      </c>
    </row>
    <row r="19" spans="1:7" x14ac:dyDescent="0.25">
      <c r="A19" s="32" t="s">
        <v>198</v>
      </c>
      <c r="B19" s="69"/>
      <c r="C19" s="69">
        <v>47068742797</v>
      </c>
      <c r="D19" s="70">
        <v>40124141859</v>
      </c>
      <c r="E19" s="69">
        <v>48071241971</v>
      </c>
      <c r="F19" s="69">
        <v>53128234464</v>
      </c>
    </row>
    <row r="20" spans="1:7" x14ac:dyDescent="0.25">
      <c r="A20" s="32" t="s">
        <v>199</v>
      </c>
      <c r="B20" s="69"/>
      <c r="C20" s="69">
        <v>43756195020</v>
      </c>
      <c r="D20" s="70">
        <v>36247358086</v>
      </c>
      <c r="E20" s="69">
        <v>35143659167</v>
      </c>
      <c r="F20" s="69">
        <v>36101920184</v>
      </c>
    </row>
    <row r="21" spans="1:7" x14ac:dyDescent="0.25">
      <c r="A21" s="32" t="s">
        <v>200</v>
      </c>
      <c r="B21" s="69"/>
      <c r="C21" s="69">
        <v>4587185489</v>
      </c>
      <c r="D21" s="70">
        <v>18506714023</v>
      </c>
      <c r="E21" s="69">
        <v>16198912702</v>
      </c>
      <c r="F21" s="69">
        <v>18256374065</v>
      </c>
    </row>
    <row r="22" spans="1:7" x14ac:dyDescent="0.25">
      <c r="A22" s="32" t="s">
        <v>201</v>
      </c>
      <c r="B22" s="69"/>
      <c r="C22" s="69">
        <v>3957858068</v>
      </c>
      <c r="D22" s="70">
        <v>2542494484</v>
      </c>
      <c r="E22" s="69">
        <v>2767430165</v>
      </c>
      <c r="F22" s="71">
        <v>3644150398</v>
      </c>
    </row>
    <row r="23" spans="1:7" x14ac:dyDescent="0.25">
      <c r="A23" s="32" t="s">
        <v>202</v>
      </c>
      <c r="B23" s="69"/>
      <c r="C23" s="69">
        <v>199283848</v>
      </c>
      <c r="D23" s="70">
        <v>651091629</v>
      </c>
      <c r="E23" s="70">
        <v>2489009912</v>
      </c>
      <c r="F23" s="69">
        <v>2815175130</v>
      </c>
      <c r="G23" s="60"/>
    </row>
    <row r="24" spans="1:7" x14ac:dyDescent="0.25">
      <c r="E24" s="60"/>
    </row>
    <row r="25" spans="1:7" x14ac:dyDescent="0.25">
      <c r="D25" s="60"/>
      <c r="E25" s="60"/>
    </row>
    <row r="26" spans="1:7" x14ac:dyDescent="0.25">
      <c r="A26" s="57" t="s">
        <v>203</v>
      </c>
      <c r="B26" s="13" t="s">
        <v>204</v>
      </c>
      <c r="D26" s="60"/>
      <c r="E26" s="60"/>
    </row>
    <row r="27" spans="1:7" x14ac:dyDescent="0.25">
      <c r="A27" s="55"/>
      <c r="B27" s="53"/>
      <c r="C27" s="53">
        <v>2018</v>
      </c>
      <c r="D27" s="53">
        <v>2019</v>
      </c>
      <c r="E27" s="53">
        <v>2020</v>
      </c>
      <c r="F27" s="53">
        <v>2021</v>
      </c>
    </row>
    <row r="28" spans="1:7" x14ac:dyDescent="0.25">
      <c r="A28" s="32" t="s">
        <v>194</v>
      </c>
      <c r="B28" s="69"/>
      <c r="C28" s="69">
        <v>19078304740</v>
      </c>
      <c r="D28" s="69">
        <v>26790096707</v>
      </c>
      <c r="E28" s="69">
        <v>25335440726</v>
      </c>
      <c r="F28" s="69">
        <v>23493901812</v>
      </c>
    </row>
    <row r="29" spans="1:7" x14ac:dyDescent="0.25">
      <c r="A29" s="32" t="s">
        <v>205</v>
      </c>
      <c r="B29" s="69"/>
      <c r="C29" s="69">
        <v>11003085498</v>
      </c>
      <c r="D29" s="69">
        <v>13918376242</v>
      </c>
      <c r="E29" s="69">
        <v>13540003128</v>
      </c>
      <c r="F29" s="69">
        <v>13262951804</v>
      </c>
    </row>
    <row r="30" spans="1:7" x14ac:dyDescent="0.25">
      <c r="A30" s="32" t="s">
        <v>206</v>
      </c>
      <c r="B30" s="69"/>
      <c r="C30" s="69">
        <v>1330783377</v>
      </c>
      <c r="D30" s="69">
        <v>6327818019</v>
      </c>
      <c r="E30" s="69">
        <v>5087844013</v>
      </c>
      <c r="F30" s="69">
        <v>4737468356</v>
      </c>
    </row>
    <row r="31" spans="1:7" ht="30" x14ac:dyDescent="0.25">
      <c r="A31" s="32" t="s">
        <v>207</v>
      </c>
      <c r="B31" s="69"/>
      <c r="C31" s="69">
        <v>4875143271</v>
      </c>
      <c r="D31" s="69">
        <v>3791726468</v>
      </c>
      <c r="E31" s="69">
        <v>4254204570</v>
      </c>
      <c r="F31" s="69">
        <v>4195979416</v>
      </c>
    </row>
    <row r="32" spans="1:7" x14ac:dyDescent="0.25">
      <c r="A32" s="32" t="s">
        <v>208</v>
      </c>
      <c r="B32" s="69"/>
      <c r="C32" s="69">
        <v>1869292594</v>
      </c>
      <c r="D32" s="69">
        <v>2752175978</v>
      </c>
      <c r="E32" s="69">
        <v>2453389014</v>
      </c>
      <c r="F32" s="69">
        <v>1297502236</v>
      </c>
    </row>
    <row r="35" spans="1:6" x14ac:dyDescent="0.25">
      <c r="A35" s="57" t="s">
        <v>209</v>
      </c>
      <c r="B35" s="13" t="s">
        <v>210</v>
      </c>
    </row>
    <row r="36" spans="1:6" x14ac:dyDescent="0.25">
      <c r="A36" s="32"/>
      <c r="B36" s="53"/>
      <c r="C36" s="53">
        <v>2018</v>
      </c>
      <c r="D36" s="53">
        <v>2019</v>
      </c>
      <c r="E36" s="53">
        <v>2020</v>
      </c>
      <c r="F36" s="53">
        <v>2021</v>
      </c>
    </row>
    <row r="37" spans="1:6" x14ac:dyDescent="0.25">
      <c r="A37" s="32" t="s">
        <v>211</v>
      </c>
      <c r="B37" s="69"/>
      <c r="C37" s="69">
        <v>11928767258</v>
      </c>
      <c r="D37" s="69">
        <v>10653960614</v>
      </c>
      <c r="E37" s="69">
        <v>8083204765</v>
      </c>
      <c r="F37" s="69">
        <v>6516442350</v>
      </c>
    </row>
    <row r="38" spans="1:6" x14ac:dyDescent="0.25">
      <c r="A38" s="32" t="s">
        <v>212</v>
      </c>
      <c r="B38" s="69"/>
      <c r="C38" s="69">
        <v>6595737290</v>
      </c>
      <c r="D38" s="69">
        <v>6103435777</v>
      </c>
      <c r="E38" s="69">
        <v>4575278396</v>
      </c>
      <c r="F38" s="69">
        <v>3517593998</v>
      </c>
    </row>
    <row r="39" spans="1:6" x14ac:dyDescent="0.25">
      <c r="A39" s="32" t="s">
        <v>213</v>
      </c>
      <c r="B39" s="69"/>
      <c r="C39" s="69">
        <v>5140231624</v>
      </c>
      <c r="D39" s="69">
        <v>4413373568</v>
      </c>
      <c r="E39" s="69">
        <v>3150430268</v>
      </c>
      <c r="F39" s="69">
        <v>2903360189</v>
      </c>
    </row>
    <row r="40" spans="1:6" x14ac:dyDescent="0.25">
      <c r="A40" s="32" t="s">
        <v>214</v>
      </c>
      <c r="B40" s="69"/>
      <c r="C40" s="69">
        <v>192798344</v>
      </c>
      <c r="D40" s="69">
        <v>137151269</v>
      </c>
      <c r="E40" s="69">
        <v>357496101</v>
      </c>
      <c r="F40" s="69">
        <v>95488163</v>
      </c>
    </row>
    <row r="43" spans="1:6" x14ac:dyDescent="0.25">
      <c r="A43" s="57" t="s">
        <v>215</v>
      </c>
      <c r="B43" s="13" t="s">
        <v>216</v>
      </c>
    </row>
    <row r="44" spans="1:6" x14ac:dyDescent="0.25">
      <c r="A44" s="55"/>
      <c r="B44" s="53"/>
      <c r="C44" s="53">
        <v>2018</v>
      </c>
      <c r="D44" s="53">
        <v>2019</v>
      </c>
      <c r="E44" s="53">
        <v>2020</v>
      </c>
      <c r="F44" s="53">
        <v>2021</v>
      </c>
    </row>
    <row r="45" spans="1:6" x14ac:dyDescent="0.25">
      <c r="A45" s="32" t="s">
        <v>217</v>
      </c>
      <c r="B45" s="69"/>
      <c r="C45" s="69">
        <v>27025173332</v>
      </c>
      <c r="D45" s="69">
        <v>38889588361</v>
      </c>
      <c r="E45" s="69">
        <v>27404561055</v>
      </c>
      <c r="F45" s="69">
        <v>27579347445</v>
      </c>
    </row>
    <row r="46" spans="1:6" x14ac:dyDescent="0.25">
      <c r="A46" s="32" t="s">
        <v>218</v>
      </c>
      <c r="B46" s="69"/>
      <c r="C46" s="69">
        <v>25746766590</v>
      </c>
      <c r="D46" s="69">
        <v>15985529092</v>
      </c>
      <c r="E46" s="69">
        <v>28798070479</v>
      </c>
      <c r="F46" s="69">
        <v>31157104593</v>
      </c>
    </row>
    <row r="47" spans="1:6" x14ac:dyDescent="0.25">
      <c r="A47" s="32" t="s">
        <v>219</v>
      </c>
      <c r="B47" s="69"/>
      <c r="C47" s="69">
        <v>1030798979</v>
      </c>
      <c r="D47" s="69">
        <v>693488985</v>
      </c>
      <c r="E47" s="69">
        <v>941977675</v>
      </c>
      <c r="F47" s="69">
        <v>877342773</v>
      </c>
    </row>
    <row r="50" spans="1:6" x14ac:dyDescent="0.25">
      <c r="A50" s="57" t="s">
        <v>220</v>
      </c>
    </row>
    <row r="51" spans="1:6" x14ac:dyDescent="0.25">
      <c r="A51" s="55"/>
      <c r="B51" s="53"/>
      <c r="C51" s="53">
        <v>2018</v>
      </c>
      <c r="D51" s="53">
        <v>2019</v>
      </c>
      <c r="E51" s="53">
        <v>2020</v>
      </c>
      <c r="F51" s="53">
        <v>2021</v>
      </c>
    </row>
    <row r="52" spans="1:6" x14ac:dyDescent="0.25">
      <c r="A52" s="32" t="s">
        <v>221</v>
      </c>
      <c r="B52" s="61"/>
      <c r="C52" s="61">
        <v>0.995</v>
      </c>
      <c r="D52" s="61">
        <v>0.997</v>
      </c>
      <c r="E52" s="61">
        <v>0.998</v>
      </c>
      <c r="F52" s="61">
        <v>0.999</v>
      </c>
    </row>
    <row r="53" spans="1:6" x14ac:dyDescent="0.25">
      <c r="A53" s="32" t="s">
        <v>222</v>
      </c>
      <c r="B53" s="61"/>
      <c r="C53" s="61">
        <v>0.85699999999999998</v>
      </c>
      <c r="D53" s="61">
        <v>0.92800000000000005</v>
      </c>
      <c r="E53" s="61">
        <v>0.96399999999999997</v>
      </c>
      <c r="F53" s="61">
        <v>0.97699999999999998</v>
      </c>
    </row>
    <row r="54" spans="1:6" x14ac:dyDescent="0.25">
      <c r="A54" s="32" t="s">
        <v>223</v>
      </c>
      <c r="B54" s="61"/>
      <c r="C54" s="61"/>
      <c r="D54" s="61"/>
      <c r="E54" s="61">
        <v>7.0000000000000001E-3</v>
      </c>
      <c r="F54" s="61">
        <v>7.4999999999999997E-2</v>
      </c>
    </row>
    <row r="55" spans="1:6" x14ac:dyDescent="0.25">
      <c r="A55" s="62"/>
    </row>
    <row r="56" spans="1:6" x14ac:dyDescent="0.25">
      <c r="A56" s="62"/>
    </row>
    <row r="57" spans="1:6" x14ac:dyDescent="0.25">
      <c r="A57" s="63" t="s">
        <v>224</v>
      </c>
      <c r="B57" s="13" t="s">
        <v>225</v>
      </c>
    </row>
    <row r="58" spans="1:6" x14ac:dyDescent="0.25">
      <c r="A58" s="33"/>
      <c r="B58" s="66"/>
      <c r="C58" s="53">
        <v>2018</v>
      </c>
      <c r="D58" s="53">
        <v>2019</v>
      </c>
      <c r="E58" s="53">
        <v>2020</v>
      </c>
      <c r="F58" s="53">
        <v>2021</v>
      </c>
    </row>
    <row r="59" spans="1:6" x14ac:dyDescent="0.25">
      <c r="A59" s="32" t="s">
        <v>226</v>
      </c>
      <c r="B59" s="18"/>
      <c r="C59" s="27">
        <v>91707731</v>
      </c>
      <c r="D59" s="27">
        <v>96972459</v>
      </c>
      <c r="E59" s="27">
        <v>94972459</v>
      </c>
      <c r="F59" s="27">
        <v>103167525</v>
      </c>
    </row>
    <row r="60" spans="1:6" x14ac:dyDescent="0.25">
      <c r="A60" s="33" t="s">
        <v>227</v>
      </c>
      <c r="B60" s="18"/>
      <c r="C60" s="27">
        <v>46904835</v>
      </c>
      <c r="D60" s="27">
        <v>53380748</v>
      </c>
      <c r="E60" s="27">
        <v>60438901</v>
      </c>
      <c r="F60" s="27">
        <v>65313134</v>
      </c>
    </row>
    <row r="61" spans="1:6" x14ac:dyDescent="0.25">
      <c r="A61" s="62"/>
    </row>
    <row r="62" spans="1:6" x14ac:dyDescent="0.25">
      <c r="A62" s="62"/>
    </row>
    <row r="63" spans="1:6" x14ac:dyDescent="0.25">
      <c r="A63" s="64" t="s">
        <v>228</v>
      </c>
      <c r="B63" s="13" t="s">
        <v>229</v>
      </c>
    </row>
    <row r="64" spans="1:6" x14ac:dyDescent="0.25">
      <c r="A64" s="33"/>
      <c r="B64" s="53"/>
      <c r="C64" s="53">
        <v>2018</v>
      </c>
      <c r="D64" s="53">
        <v>2019</v>
      </c>
      <c r="E64" s="53">
        <v>2020</v>
      </c>
      <c r="F64" s="53">
        <v>2021</v>
      </c>
    </row>
    <row r="65" spans="1:8" x14ac:dyDescent="0.25">
      <c r="A65" s="33" t="s">
        <v>230</v>
      </c>
      <c r="B65" s="27"/>
      <c r="C65" s="27">
        <v>91707731</v>
      </c>
      <c r="D65" s="27">
        <v>96972459</v>
      </c>
      <c r="E65" s="27">
        <v>94952509</v>
      </c>
      <c r="F65" s="27">
        <v>103167525</v>
      </c>
    </row>
    <row r="66" spans="1:8" x14ac:dyDescent="0.25">
      <c r="A66" s="32" t="s">
        <v>231</v>
      </c>
      <c r="B66" s="27"/>
      <c r="C66" s="27">
        <v>80436209</v>
      </c>
      <c r="D66" s="27">
        <v>82323854</v>
      </c>
      <c r="E66" s="27">
        <v>79419434</v>
      </c>
      <c r="F66" s="27">
        <v>86816228</v>
      </c>
    </row>
    <row r="67" spans="1:8" x14ac:dyDescent="0.25">
      <c r="A67" s="33" t="s">
        <v>232</v>
      </c>
      <c r="B67" s="27"/>
      <c r="C67" s="27">
        <v>11271522</v>
      </c>
      <c r="D67" s="27">
        <v>14648605</v>
      </c>
      <c r="E67" s="27">
        <v>15533075</v>
      </c>
      <c r="F67" s="27">
        <v>16351297</v>
      </c>
    </row>
    <row r="68" spans="1:8" x14ac:dyDescent="0.25">
      <c r="A68" s="62"/>
    </row>
    <row r="70" spans="1:8" ht="30" x14ac:dyDescent="0.25">
      <c r="A70" s="57" t="s">
        <v>233</v>
      </c>
      <c r="B70" s="13" t="s">
        <v>234</v>
      </c>
    </row>
    <row r="71" spans="1:8" x14ac:dyDescent="0.25">
      <c r="A71" s="55"/>
      <c r="B71" s="53"/>
      <c r="C71" s="53">
        <v>2018</v>
      </c>
      <c r="D71" s="53">
        <v>2019</v>
      </c>
      <c r="E71" s="53">
        <v>2020</v>
      </c>
      <c r="F71" s="53">
        <v>2021</v>
      </c>
      <c r="H71" s="22"/>
    </row>
    <row r="72" spans="1:8" x14ac:dyDescent="0.25">
      <c r="A72" s="32" t="s">
        <v>235</v>
      </c>
      <c r="B72" s="18"/>
      <c r="C72" s="18"/>
      <c r="D72" s="27">
        <v>53306152</v>
      </c>
      <c r="E72" s="27">
        <v>64151355</v>
      </c>
      <c r="F72" s="27">
        <v>64113022</v>
      </c>
      <c r="H72" s="65"/>
    </row>
    <row r="75" spans="1:8" x14ac:dyDescent="0.25">
      <c r="A75" s="57" t="s">
        <v>236</v>
      </c>
      <c r="B75" s="13" t="s">
        <v>237</v>
      </c>
    </row>
    <row r="76" spans="1:8" x14ac:dyDescent="0.25">
      <c r="A76" s="32"/>
      <c r="B76" s="53"/>
      <c r="C76" s="53">
        <v>2018</v>
      </c>
      <c r="D76" s="53">
        <v>2019</v>
      </c>
      <c r="E76" s="53">
        <v>2020</v>
      </c>
      <c r="F76" s="53">
        <v>2021</v>
      </c>
    </row>
    <row r="77" spans="1:8" x14ac:dyDescent="0.25">
      <c r="A77" s="32" t="s">
        <v>238</v>
      </c>
      <c r="B77" s="27"/>
      <c r="C77" s="27">
        <v>3869934</v>
      </c>
      <c r="D77" s="27">
        <v>3112717</v>
      </c>
      <c r="E77" s="27">
        <v>1492151</v>
      </c>
      <c r="F77" s="27">
        <v>1796364</v>
      </c>
    </row>
    <row r="78" spans="1:8" x14ac:dyDescent="0.25">
      <c r="A78" s="32" t="s">
        <v>239</v>
      </c>
      <c r="B78" s="27"/>
      <c r="C78" s="27">
        <v>1278728</v>
      </c>
      <c r="D78" s="27">
        <v>1647419</v>
      </c>
      <c r="E78" s="27">
        <v>1026002</v>
      </c>
      <c r="F78" s="27">
        <v>1379207</v>
      </c>
    </row>
    <row r="79" spans="1:8" x14ac:dyDescent="0.25">
      <c r="A79" s="32" t="s">
        <v>240</v>
      </c>
      <c r="B79" s="27"/>
      <c r="C79" s="27">
        <v>2521013</v>
      </c>
      <c r="D79" s="27">
        <v>1441292</v>
      </c>
      <c r="E79" s="27">
        <v>453771</v>
      </c>
      <c r="F79" s="27">
        <v>316825</v>
      </c>
    </row>
    <row r="80" spans="1:8" x14ac:dyDescent="0.25">
      <c r="A80" s="32" t="s">
        <v>241</v>
      </c>
      <c r="B80" s="27"/>
      <c r="C80" s="27">
        <v>70193</v>
      </c>
      <c r="D80" s="27">
        <v>24006</v>
      </c>
      <c r="E80" s="27">
        <v>12378</v>
      </c>
      <c r="F80" s="27">
        <v>100332</v>
      </c>
    </row>
    <row r="83" spans="1:6" ht="30" x14ac:dyDescent="0.25">
      <c r="A83" s="57" t="s">
        <v>242</v>
      </c>
      <c r="B83" s="13" t="s">
        <v>243</v>
      </c>
    </row>
    <row r="84" spans="1:6" x14ac:dyDescent="0.25">
      <c r="A84" s="32"/>
      <c r="B84" s="54"/>
      <c r="C84" s="53">
        <v>2018</v>
      </c>
      <c r="D84" s="53">
        <v>2019</v>
      </c>
      <c r="E84" s="53">
        <v>2020</v>
      </c>
      <c r="F84" s="53">
        <v>2021</v>
      </c>
    </row>
    <row r="85" spans="1:6" x14ac:dyDescent="0.25">
      <c r="A85" s="32" t="s">
        <v>244</v>
      </c>
      <c r="B85" s="27"/>
      <c r="C85" s="27">
        <v>5208521164</v>
      </c>
      <c r="D85" s="27">
        <v>6365441002</v>
      </c>
      <c r="E85" s="27">
        <v>4167973810</v>
      </c>
      <c r="F85" s="27">
        <v>3398520058</v>
      </c>
    </row>
    <row r="86" spans="1:6" x14ac:dyDescent="0.25">
      <c r="A86" s="32" t="s">
        <v>245</v>
      </c>
      <c r="B86" s="27"/>
      <c r="C86" s="27">
        <v>3139633506</v>
      </c>
      <c r="D86" s="27">
        <v>3833825566</v>
      </c>
      <c r="E86" s="27">
        <v>2607594305</v>
      </c>
      <c r="F86" s="27">
        <v>1869197103</v>
      </c>
    </row>
    <row r="87" spans="1:6" x14ac:dyDescent="0.25">
      <c r="A87" s="32" t="s">
        <v>246</v>
      </c>
      <c r="B87" s="27"/>
      <c r="C87" s="27">
        <v>2068887658</v>
      </c>
      <c r="D87" s="27">
        <v>2531615436</v>
      </c>
      <c r="E87" s="27">
        <v>1560379505</v>
      </c>
      <c r="F87" s="27">
        <v>1529322955</v>
      </c>
    </row>
    <row r="90" spans="1:6" x14ac:dyDescent="0.25">
      <c r="A90" s="57" t="s">
        <v>247</v>
      </c>
      <c r="B90" s="13" t="s">
        <v>248</v>
      </c>
    </row>
    <row r="91" spans="1:6" x14ac:dyDescent="0.25">
      <c r="A91" s="55"/>
      <c r="B91" s="53"/>
      <c r="C91" s="53">
        <v>2018</v>
      </c>
      <c r="D91" s="53">
        <v>2019</v>
      </c>
      <c r="E91" s="53">
        <v>2020</v>
      </c>
      <c r="F91" s="53">
        <v>2021</v>
      </c>
    </row>
    <row r="92" spans="1:6" x14ac:dyDescent="0.25">
      <c r="A92" s="55"/>
      <c r="B92" s="27"/>
      <c r="C92" s="27">
        <v>7802163843</v>
      </c>
      <c r="D92" s="27">
        <v>9387343330</v>
      </c>
      <c r="E92" s="27">
        <v>9005020193</v>
      </c>
      <c r="F92" s="27">
        <v>5912533086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E10D4-F8D0-4F63-8218-8AFCA2C2BF71}">
  <dimension ref="A1:I24"/>
  <sheetViews>
    <sheetView workbookViewId="0">
      <selection activeCell="J20" sqref="J20"/>
    </sheetView>
  </sheetViews>
  <sheetFormatPr defaultColWidth="8.7109375" defaultRowHeight="15" x14ac:dyDescent="0.25"/>
  <cols>
    <col min="1" max="1" width="60.7109375" style="13" customWidth="1"/>
    <col min="2" max="7" width="15.7109375" style="13" customWidth="1"/>
    <col min="8" max="8" width="30.7109375" style="13" customWidth="1"/>
    <col min="9" max="9" width="13.140625" style="13" customWidth="1"/>
    <col min="10" max="18" width="15.7109375" style="13" customWidth="1"/>
    <col min="19" max="19" width="8.7109375" style="13"/>
    <col min="20" max="20" width="45.7109375" style="13" customWidth="1"/>
    <col min="21" max="16384" width="8.7109375" style="13"/>
  </cols>
  <sheetData>
    <row r="1" spans="1:9" ht="18.75" x14ac:dyDescent="0.3">
      <c r="A1" s="51" t="s">
        <v>249</v>
      </c>
      <c r="B1" s="52"/>
    </row>
    <row r="2" spans="1:9" x14ac:dyDescent="0.25">
      <c r="A2" s="22"/>
    </row>
    <row r="3" spans="1:9" x14ac:dyDescent="0.25">
      <c r="A3" s="13" t="s">
        <v>250</v>
      </c>
      <c r="B3" s="20" t="s">
        <v>251</v>
      </c>
      <c r="I3" s="22"/>
    </row>
    <row r="5" spans="1:9" x14ac:dyDescent="0.25">
      <c r="A5" s="30"/>
      <c r="B5" s="31" t="s">
        <v>22</v>
      </c>
      <c r="C5" s="30">
        <v>2017</v>
      </c>
      <c r="D5" s="30">
        <v>2018</v>
      </c>
      <c r="E5" s="30">
        <v>2019</v>
      </c>
      <c r="F5" s="30">
        <v>2020</v>
      </c>
      <c r="G5" s="30">
        <v>2021</v>
      </c>
    </row>
    <row r="6" spans="1:9" x14ac:dyDescent="0.25">
      <c r="A6" s="30" t="s">
        <v>252</v>
      </c>
      <c r="B6" s="34" t="s">
        <v>123</v>
      </c>
      <c r="C6" s="27">
        <v>7035510000</v>
      </c>
      <c r="D6" s="27">
        <f>AVERAGE(C6,E6)</f>
        <v>7092368000</v>
      </c>
      <c r="E6" s="27">
        <f>5106590000*(1+I20)</f>
        <v>7149226000</v>
      </c>
      <c r="F6" s="27">
        <f>4438360000*(1+I22)</f>
        <v>6657540000</v>
      </c>
      <c r="G6" s="27">
        <f>3930380000*(1+I24)</f>
        <v>6288608000</v>
      </c>
    </row>
    <row r="7" spans="1:9" x14ac:dyDescent="0.25">
      <c r="A7" s="30" t="s">
        <v>253</v>
      </c>
      <c r="B7" s="34" t="s">
        <v>123</v>
      </c>
      <c r="C7" s="27"/>
      <c r="D7" s="27">
        <f>8144270000*(1+I18)</f>
        <v>8551483500</v>
      </c>
      <c r="E7" s="27">
        <f>5948320000*(1+I20)</f>
        <v>8327647999.999999</v>
      </c>
      <c r="F7" s="27">
        <f>6424540000*(1+I22)</f>
        <v>9636810000</v>
      </c>
      <c r="G7" s="27">
        <f>6026100000*(1+I24)</f>
        <v>9641760000</v>
      </c>
    </row>
    <row r="8" spans="1:9" x14ac:dyDescent="0.25">
      <c r="A8" s="30" t="s">
        <v>254</v>
      </c>
      <c r="B8" s="34" t="s">
        <v>123</v>
      </c>
      <c r="C8" s="27"/>
      <c r="D8" s="27">
        <f>360749000*(1+I18)</f>
        <v>378786450</v>
      </c>
      <c r="E8" s="27">
        <f>158098000*(1+I20)</f>
        <v>221337200</v>
      </c>
      <c r="F8" s="27">
        <f>103175000*(1+I22)</f>
        <v>154762500</v>
      </c>
      <c r="G8" s="27">
        <f>45128600*(1+I24)</f>
        <v>72205760</v>
      </c>
    </row>
    <row r="9" spans="1:9" x14ac:dyDescent="0.25">
      <c r="A9" s="30" t="s">
        <v>255</v>
      </c>
      <c r="B9" s="34" t="s">
        <v>123</v>
      </c>
      <c r="C9" s="27"/>
      <c r="D9" s="27">
        <f>356416000*(1+I18)</f>
        <v>374236800</v>
      </c>
      <c r="E9" s="27">
        <f>79815800*(1+I20)</f>
        <v>111742120</v>
      </c>
      <c r="F9" s="27">
        <f>81615500*(1+I22)</f>
        <v>122423250</v>
      </c>
      <c r="G9" s="27">
        <f>64933600*(1+I24)</f>
        <v>103893760</v>
      </c>
    </row>
    <row r="10" spans="1:9" x14ac:dyDescent="0.25">
      <c r="A10" s="30" t="s">
        <v>256</v>
      </c>
      <c r="B10" s="34" t="s">
        <v>123</v>
      </c>
      <c r="C10" s="27"/>
      <c r="D10" s="27">
        <f>717165000*(1+I18)</f>
        <v>753023250</v>
      </c>
      <c r="E10" s="27">
        <f>237914000*(1+I20)</f>
        <v>333079600</v>
      </c>
      <c r="F10" s="27">
        <f>184790000*(1+I22)</f>
        <v>277185000</v>
      </c>
      <c r="G10" s="27">
        <f>110062000*(1+I24)</f>
        <v>176099200</v>
      </c>
    </row>
    <row r="11" spans="1:9" x14ac:dyDescent="0.25">
      <c r="A11" s="30" t="s">
        <v>257</v>
      </c>
      <c r="B11" s="34" t="s">
        <v>123</v>
      </c>
      <c r="C11" s="27"/>
      <c r="D11" s="27">
        <f>2366640000*(1+I18)</f>
        <v>2484972000</v>
      </c>
      <c r="E11" s="27">
        <f>2463320000*(1+I20)</f>
        <v>3448648000</v>
      </c>
      <c r="F11" s="27">
        <f>2945570000*(1+I22)</f>
        <v>4418355000</v>
      </c>
      <c r="G11" s="27">
        <f>2744210000*(1+I24)</f>
        <v>4390736000</v>
      </c>
    </row>
    <row r="12" spans="1:9" x14ac:dyDescent="0.25">
      <c r="C12"/>
    </row>
    <row r="13" spans="1:9" x14ac:dyDescent="0.25">
      <c r="A13" s="22"/>
    </row>
    <row r="14" spans="1:9" x14ac:dyDescent="0.25">
      <c r="B14"/>
      <c r="C14" s="194"/>
      <c r="D14" s="194"/>
      <c r="E14" s="194"/>
      <c r="F14" s="193"/>
    </row>
    <row r="15" spans="1:9" ht="14.65" customHeight="1" x14ac:dyDescent="0.25">
      <c r="A15" s="2"/>
      <c r="B15" s="22"/>
      <c r="C15" s="193"/>
      <c r="D15" s="193"/>
      <c r="E15" s="193"/>
      <c r="F15" s="193"/>
    </row>
    <row r="16" spans="1:9" x14ac:dyDescent="0.25">
      <c r="C16" s="158" t="s">
        <v>258</v>
      </c>
      <c r="D16" s="157"/>
      <c r="E16" s="157"/>
      <c r="F16" s="157"/>
      <c r="G16" s="157"/>
      <c r="H16" s="157"/>
      <c r="I16" s="157"/>
    </row>
    <row r="17" spans="3:9" x14ac:dyDescent="0.25">
      <c r="C17" s="179"/>
      <c r="D17" s="179"/>
      <c r="E17" s="179"/>
      <c r="F17" s="179"/>
      <c r="G17" s="179"/>
      <c r="H17" s="179"/>
      <c r="I17" s="179"/>
    </row>
    <row r="18" spans="3:9" x14ac:dyDescent="0.25">
      <c r="C18" s="158" t="s">
        <v>259</v>
      </c>
      <c r="D18" s="153"/>
      <c r="E18" s="153"/>
      <c r="F18" s="153"/>
      <c r="G18" s="153"/>
      <c r="H18" s="153"/>
      <c r="I18" s="8">
        <v>0.05</v>
      </c>
    </row>
    <row r="20" spans="3:9" x14ac:dyDescent="0.25">
      <c r="C20" s="158" t="s">
        <v>260</v>
      </c>
      <c r="D20" s="157"/>
      <c r="E20" s="157"/>
      <c r="F20" s="157"/>
      <c r="G20" s="157"/>
      <c r="H20" s="157"/>
      <c r="I20" s="8">
        <v>0.4</v>
      </c>
    </row>
    <row r="22" spans="3:9" x14ac:dyDescent="0.25">
      <c r="C22" s="158" t="s">
        <v>260</v>
      </c>
      <c r="D22" s="157"/>
      <c r="E22" s="157"/>
      <c r="F22" s="157"/>
      <c r="G22" s="157"/>
      <c r="H22" s="157"/>
      <c r="I22" s="8">
        <v>0.5</v>
      </c>
    </row>
    <row r="24" spans="3:9" x14ac:dyDescent="0.25">
      <c r="C24" s="158" t="s">
        <v>261</v>
      </c>
      <c r="D24" s="153"/>
      <c r="E24" s="153"/>
      <c r="F24" s="153"/>
      <c r="G24" s="153"/>
      <c r="H24" s="153"/>
      <c r="I24" s="8">
        <v>0.6</v>
      </c>
    </row>
  </sheetData>
  <hyperlinks>
    <hyperlink ref="B3" xr:uid="{48C04EA8-64FE-482B-8C23-870E2ABC9F98}"/>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256F-E1E0-4B41-B532-79A7FABE58DA}">
  <sheetPr>
    <tabColor theme="3" tint="0.79998168889431442"/>
  </sheetPr>
  <dimension ref="B2"/>
  <sheetViews>
    <sheetView workbookViewId="0">
      <selection activeCell="J15" sqref="J15"/>
    </sheetView>
  </sheetViews>
  <sheetFormatPr defaultColWidth="8.5703125" defaultRowHeight="15" x14ac:dyDescent="0.25"/>
  <cols>
    <col min="1" max="16384" width="8.5703125" style="13"/>
  </cols>
  <sheetData>
    <row r="2" spans="2:2" x14ac:dyDescent="0.25">
      <c r="B2" s="13" t="s">
        <v>180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071C4-1AA2-449B-814F-C52AEDD62369}">
  <dimension ref="A1:Z24"/>
  <sheetViews>
    <sheetView zoomScaleNormal="100" workbookViewId="0">
      <selection activeCell="E28" sqref="E28"/>
    </sheetView>
  </sheetViews>
  <sheetFormatPr defaultColWidth="15.7109375" defaultRowHeight="15" x14ac:dyDescent="0.25"/>
  <cols>
    <col min="1" max="1" width="45.7109375" style="13" customWidth="1"/>
    <col min="2" max="24" width="15.7109375" style="13"/>
    <col min="25" max="26" width="45.7109375" style="13" customWidth="1"/>
    <col min="27" max="16384" width="15.7109375" style="13"/>
  </cols>
  <sheetData>
    <row r="1" spans="1:26" s="22" customFormat="1" ht="18.75" x14ac:dyDescent="0.3">
      <c r="A1" s="51" t="s">
        <v>158</v>
      </c>
      <c r="B1" s="49"/>
      <c r="C1" s="49"/>
      <c r="D1" s="49"/>
      <c r="E1" s="49"/>
      <c r="F1" s="49"/>
      <c r="G1" s="49"/>
      <c r="H1" s="49"/>
      <c r="I1" s="49"/>
      <c r="J1" s="49"/>
      <c r="K1" s="49"/>
      <c r="L1" s="49"/>
      <c r="M1" s="49"/>
      <c r="N1" s="49"/>
      <c r="O1" s="49"/>
      <c r="P1" s="49"/>
      <c r="Q1" s="49"/>
      <c r="R1" s="49"/>
      <c r="S1" s="49"/>
      <c r="T1" s="49"/>
      <c r="U1" s="49"/>
      <c r="V1" s="49"/>
      <c r="W1" s="49"/>
      <c r="X1" s="49"/>
    </row>
    <row r="2" spans="1:26" x14ac:dyDescent="0.25">
      <c r="Y2" s="22" t="s">
        <v>27</v>
      </c>
      <c r="Z2" s="22" t="s">
        <v>23</v>
      </c>
    </row>
    <row r="3" spans="1:26" x14ac:dyDescent="0.25">
      <c r="A3" s="18" t="s">
        <v>159</v>
      </c>
      <c r="B3" s="8">
        <v>0.27500000000000002</v>
      </c>
      <c r="C3" s="16" t="s">
        <v>160</v>
      </c>
      <c r="Y3" s="13" t="s">
        <v>367</v>
      </c>
    </row>
    <row r="4" spans="1:26" x14ac:dyDescent="0.25">
      <c r="B4" s="16"/>
      <c r="C4" s="16"/>
    </row>
    <row r="6" spans="1:26" x14ac:dyDescent="0.25">
      <c r="D6" s="221" cm="1">
        <f t="array" ref="D6:W6">years</f>
        <v>2018</v>
      </c>
      <c r="E6" s="221">
        <v>2019</v>
      </c>
      <c r="F6" s="221">
        <v>2020</v>
      </c>
      <c r="G6" s="221">
        <v>2021</v>
      </c>
      <c r="H6" s="221">
        <v>2022</v>
      </c>
      <c r="I6" s="221">
        <v>2023</v>
      </c>
      <c r="J6" s="221">
        <v>2024</v>
      </c>
      <c r="K6" s="221">
        <v>2025</v>
      </c>
      <c r="L6" s="221">
        <v>2026</v>
      </c>
      <c r="M6" s="203">
        <v>2027</v>
      </c>
      <c r="N6" s="203">
        <v>2028</v>
      </c>
      <c r="O6" s="203">
        <v>2029</v>
      </c>
      <c r="P6" s="203">
        <v>2030</v>
      </c>
      <c r="Q6" s="203">
        <v>2031</v>
      </c>
      <c r="R6" s="203">
        <v>2032</v>
      </c>
      <c r="S6" s="203">
        <v>2033</v>
      </c>
      <c r="T6" s="203">
        <v>2034</v>
      </c>
      <c r="U6" s="203">
        <v>2035</v>
      </c>
      <c r="V6" s="203">
        <v>2036</v>
      </c>
      <c r="W6" s="203">
        <v>2037</v>
      </c>
    </row>
    <row r="7" spans="1:26" x14ac:dyDescent="0.25">
      <c r="A7" s="18" t="s">
        <v>161</v>
      </c>
      <c r="B7" s="18"/>
      <c r="C7" s="218"/>
      <c r="D7" s="192">
        <f>INDEX('Macroeconomic data'!$C$28:$AA$30, MATCH(Summary!$B$22,_xlfn.ANCHORARRAY('Macroeconomic data'!$B$28),0), MATCH('Macroeconomic data'!H27,'Macroeconomic data'!$C27:$AA27,0))</f>
        <v>13.246775199999993</v>
      </c>
      <c r="E7" s="192">
        <f>INDEX('Macroeconomic data'!$C$28:$AA$30, MATCH(Summary!$B$22,_xlfn.ANCHORARRAY('Macroeconomic data'!$B$28),0), MATCH('Macroeconomic data'!I27,'Macroeconomic data'!$C27:$AA27,0))</f>
        <v>14.451177510040162</v>
      </c>
      <c r="F7" s="192">
        <f>INDEX('Macroeconomic data'!$C$28:$AA$30, MATCH(Summary!$B$22,_xlfn.ANCHORARRAY('Macroeconomic data'!$B$28),0), MATCH('Macroeconomic data'!J27,'Macroeconomic data'!$C27:$AA27,0))</f>
        <v>16.441369841269843</v>
      </c>
      <c r="G7" s="192">
        <f>INDEX('Macroeconomic data'!$C$28:$AA$30, MATCH(Summary!$B$22,_xlfn.ANCHORARRAY('Macroeconomic data'!$B$28),0), MATCH('Macroeconomic data'!K27,'Macroeconomic data'!$C27:$AA27,0))</f>
        <v>14.783901599999995</v>
      </c>
      <c r="H7" s="192">
        <f>INDEX('Macroeconomic data'!$C$28:$AA$30, MATCH(Summary!$B$22,_xlfn.ANCHORARRAY('Macroeconomic data'!$B$28),0), MATCH('Macroeconomic data'!L27,'Macroeconomic data'!$C27:$AA27,0))</f>
        <v>16.381369199999995</v>
      </c>
      <c r="I7" s="192">
        <f>INDEX('Macroeconomic data'!$C$28:$AA$30, MATCH(Summary!$B$22,_xlfn.ANCHORARRAY('Macroeconomic data'!$B$28),0), MATCH('Macroeconomic data'!M27,'Macroeconomic data'!$C27:$AA27,0))</f>
        <v>18.447499999999998</v>
      </c>
      <c r="J7" s="192">
        <f>INDEX('Macroeconomic data'!$C$28:$AA$30, MATCH(Summary!$B$22,_xlfn.ANCHORARRAY('Macroeconomic data'!$B$28),0), MATCH('Macroeconomic data'!N27,'Macroeconomic data'!$C27:$AA27,0))</f>
        <v>17.75</v>
      </c>
      <c r="K7" s="192">
        <f>INDEX('Macroeconomic data'!$C$28:$AA$30, MATCH(Summary!$B$22,_xlfn.ANCHORARRAY('Macroeconomic data'!$B$28),0), MATCH('Macroeconomic data'!O27,'Macroeconomic data'!$C27:$AA27,0))</f>
        <v>17.3</v>
      </c>
      <c r="L7" s="192">
        <f>INDEX('Macroeconomic data'!$C$28:$AA$30, MATCH(Summary!$B$22,_xlfn.ANCHORARRAY('Macroeconomic data'!$B$28),0), MATCH('Macroeconomic data'!P27,'Macroeconomic data'!$C27:$AA27,0))</f>
        <v>17.972495345689182</v>
      </c>
      <c r="M7" s="192">
        <f>INDEX('Macroeconomic data'!$C$28:$AA$30, MATCH(Summary!$B$22,_xlfn.ANCHORARRAY('Macroeconomic data'!$B$28),0), MATCH('Macroeconomic data'!Q27,'Macroeconomic data'!$C27:$AA27,0))</f>
        <v>18.671132309295913</v>
      </c>
      <c r="N7" s="192">
        <f>INDEX('Macroeconomic data'!$C$28:$AA$30, MATCH(Summary!$B$22,_xlfn.ANCHORARRAY('Macroeconomic data'!$B$28),0), MATCH('Macroeconomic data'!R27,'Macroeconomic data'!$C27:$AA27,0))</f>
        <v>19.396927082518364</v>
      </c>
      <c r="O7" s="192">
        <f>INDEX('Macroeconomic data'!$C$28:$AA$30, MATCH(Summary!$B$22,_xlfn.ANCHORARRAY('Macroeconomic data'!$B$28),0), MATCH('Macroeconomic data'!S27,'Macroeconomic data'!$C27:$AA27,0))</f>
        <v>20.15093535903085</v>
      </c>
      <c r="P7" s="192">
        <f>INDEX('Macroeconomic data'!$C$28:$AA$30, MATCH(Summary!$B$22,_xlfn.ANCHORARRAY('Macroeconomic data'!$B$28),0), MATCH('Macroeconomic data'!T27,'Macroeconomic data'!$C27:$AA27,0))</f>
        <v>20.934253870026907</v>
      </c>
      <c r="Q7" s="192">
        <f>INDEX('Macroeconomic data'!$C$28:$AA$30, MATCH(Summary!$B$22,_xlfn.ANCHORARRAY('Macroeconomic data'!$B$28),0), MATCH('Macroeconomic data'!U27,'Macroeconomic data'!$C27:$AA27,0))</f>
        <v>21.341137924739876</v>
      </c>
      <c r="R7" s="192">
        <f>INDEX('Macroeconomic data'!$C$28:$AA$30, MATCH(Summary!$B$22,_xlfn.ANCHORARRAY('Macroeconomic data'!$B$28),0), MATCH('Macroeconomic data'!V27,'Macroeconomic data'!$C27:$AA27,0))</f>
        <v>21.755930292546186</v>
      </c>
      <c r="S7" s="192">
        <f>INDEX('Macroeconomic data'!$C$28:$AA$30, MATCH(Summary!$B$22,_xlfn.ANCHORARRAY('Macroeconomic data'!$B$28),0), MATCH('Macroeconomic data'!W27,'Macroeconomic data'!$C27:$AA27,0))</f>
        <v>22.178784681646633</v>
      </c>
      <c r="T7" s="192">
        <f>INDEX('Macroeconomic data'!$C$28:$AA$30, MATCH(Summary!$B$22,_xlfn.ANCHORARRAY('Macroeconomic data'!$B$28),0), MATCH('Macroeconomic data'!X27,'Macroeconomic data'!$C27:$AA27,0))</f>
        <v>22.6098577877579</v>
      </c>
      <c r="U7" s="192">
        <f>INDEX('Macroeconomic data'!$C$28:$AA$30, MATCH(Summary!$B$22,_xlfn.ANCHORARRAY('Macroeconomic data'!$B$28),0), MATCH('Macroeconomic data'!Y27,'Macroeconomic data'!$C27:$AA27,0))</f>
        <v>23.049309352178749</v>
      </c>
      <c r="V7" s="192">
        <f>INDEX('Macroeconomic data'!$C$28:$AA$30, MATCH(Summary!$B$22,_xlfn.ANCHORARRAY('Macroeconomic data'!$B$28),0), MATCH('Macroeconomic data'!Z27,'Macroeconomic data'!$C27:$AA27,0))</f>
        <v>23.049309352178749</v>
      </c>
      <c r="W7" s="192">
        <f>INDEX('Macroeconomic data'!$C$28:$AA$30, MATCH(Summary!$B$22,_xlfn.ANCHORARRAY('Macroeconomic data'!$B$28),0), MATCH('Macroeconomic data'!AA27,'Macroeconomic data'!$C27:$AA27,0))</f>
        <v>23.049309352178749</v>
      </c>
      <c r="Y7" s="215"/>
    </row>
    <row r="8" spans="1:26" x14ac:dyDescent="0.25">
      <c r="A8" s="18" t="s">
        <v>162</v>
      </c>
      <c r="B8" s="18"/>
      <c r="C8" s="218"/>
      <c r="D8" s="192">
        <f>INDEX('Macroeconomic data'!$C$33:$AA$35, MATCH(Summary!$B$22,_xlfn.ANCHORARRAY('Macroeconomic data'!$B$33),0), MATCH('Macroeconomic data'!H32,'Macroeconomic data'!$C32:$AA32,0))</f>
        <v>17.641773199999999</v>
      </c>
      <c r="E8" s="192">
        <f>INDEX('Macroeconomic data'!$C$33:$AA$35, MATCH(Summary!$B$22,_xlfn.ANCHORARRAY('Macroeconomic data'!$B$33),0), MATCH('Macroeconomic data'!I32,'Macroeconomic data'!$C32:$AA32,0))</f>
        <v>18.430149397590366</v>
      </c>
      <c r="F8" s="192">
        <f>INDEX('Macroeconomic data'!$C$33:$AA$35, MATCH(Summary!$B$22,_xlfn.ANCHORARRAY('Macroeconomic data'!$B$33),0), MATCH('Macroeconomic data'!J32,'Macroeconomic data'!$C32:$AA32,0))</f>
        <v>21.072238492063484</v>
      </c>
      <c r="G8" s="192">
        <f>INDEX('Macroeconomic data'!$C$33:$AA$35, MATCH(Summary!$B$22,_xlfn.ANCHORARRAY('Macroeconomic data'!$B$33),0), MATCH('Macroeconomic data'!K32,'Macroeconomic data'!$C32:$AA32,0))</f>
        <v>20.328223200000007</v>
      </c>
      <c r="H8" s="192">
        <f>INDEX('Macroeconomic data'!$C$33:$AA$35, MATCH(Summary!$B$22,_xlfn.ANCHORARRAY('Macroeconomic data'!$B$33),0), MATCH('Macroeconomic data'!L32,'Macroeconomic data'!$C32:$AA32,0))</f>
        <v>20.179558399999998</v>
      </c>
      <c r="I8" s="192">
        <f>INDEX('Macroeconomic data'!$C$33:$AA$35, MATCH(Summary!$B$22,_xlfn.ANCHORARRAY('Macroeconomic data'!$B$33),0), MATCH('Macroeconomic data'!M32,'Macroeconomic data'!$C32:$AA32,0))</f>
        <v>22.925000000000001</v>
      </c>
      <c r="J8" s="192">
        <f>INDEX('Macroeconomic data'!$C$33:$AA$35, MATCH(Summary!$B$22,_xlfn.ANCHORARRAY('Macroeconomic data'!$B$33),0), MATCH('Macroeconomic data'!N32,'Macroeconomic data'!$C32:$AA32,0))</f>
        <v>22.232500000000002</v>
      </c>
      <c r="K8" s="192">
        <f>INDEX('Macroeconomic data'!$C$33:$AA$35, MATCH(Summary!$B$22,_xlfn.ANCHORARRAY('Macroeconomic data'!$B$33),0), MATCH('Macroeconomic data'!O32,'Macroeconomic data'!$C32:$AA32,0))</f>
        <v>22.317499999999999</v>
      </c>
      <c r="L8" s="192">
        <f>INDEX('Macroeconomic data'!$C$33:$AA$35, MATCH(Summary!$B$22,_xlfn.ANCHORARRAY('Macroeconomic data'!$B$33),0), MATCH('Macroeconomic data'!P32,'Macroeconomic data'!$C32:$AA32,0))</f>
        <v>23.079783490908842</v>
      </c>
      <c r="M8" s="192">
        <f>INDEX('Macroeconomic data'!$C$33:$AA$35, MATCH(Summary!$B$22,_xlfn.ANCHORARRAY('Macroeconomic data'!$B$33),0), MATCH('Macroeconomic data'!Q32,'Macroeconomic data'!$C32:$AA32,0))</f>
        <v>23.868103774492141</v>
      </c>
      <c r="N8" s="192">
        <f>INDEX('Macroeconomic data'!$C$33:$AA$35, MATCH(Summary!$B$22,_xlfn.ANCHORARRAY('Macroeconomic data'!$B$33),0), MATCH('Macroeconomic data'!R32,'Macroeconomic data'!$C32:$AA32,0))</f>
        <v>24.683350171561454</v>
      </c>
      <c r="O8" s="192">
        <f>INDEX('Macroeconomic data'!$C$33:$AA$35, MATCH(Summary!$B$22,_xlfn.ANCHORARRAY('Macroeconomic data'!$B$33),0), MATCH('Macroeconomic data'!S32,'Macroeconomic data'!$C32:$AA32,0))</f>
        <v>25.526442378847364</v>
      </c>
      <c r="P8" s="192">
        <f>INDEX('Macroeconomic data'!$C$33:$AA$35, MATCH(Summary!$B$22,_xlfn.ANCHORARRAY('Macroeconomic data'!$B$33),0), MATCH('Macroeconomic data'!T32,'Macroeconomic data'!$C32:$AA32,0))</f>
        <v>26.398331506528834</v>
      </c>
      <c r="Q8" s="192">
        <f>INDEX('Macroeconomic data'!$C$33:$AA$35, MATCH(Summary!$B$22,_xlfn.ANCHORARRAY('Macroeconomic data'!$B$33),0), MATCH('Macroeconomic data'!U32,'Macroeconomic data'!$C32:$AA32,0))</f>
        <v>26.849166328864797</v>
      </c>
      <c r="R8" s="192">
        <f>INDEX('Macroeconomic data'!$C$33:$AA$35, MATCH(Summary!$B$22,_xlfn.ANCHORARRAY('Macroeconomic data'!$B$33),0), MATCH('Macroeconomic data'!V32,'Macroeconomic data'!$C32:$AA32,0))</f>
        <v>27.307700578605118</v>
      </c>
      <c r="S8" s="192">
        <f>INDEX('Macroeconomic data'!$C$33:$AA$35, MATCH(Summary!$B$22,_xlfn.ANCHORARRAY('Macroeconomic data'!$B$33),0), MATCH('Macroeconomic data'!W32,'Macroeconomic data'!$C32:$AA32,0))</f>
        <v>27.774065747771751</v>
      </c>
      <c r="T8" s="192">
        <f>INDEX('Macroeconomic data'!$C$33:$AA$35, MATCH(Summary!$B$22,_xlfn.ANCHORARRAY('Macroeconomic data'!$B$33),0), MATCH('Macroeconomic data'!X32,'Macroeconomic data'!$C32:$AA32,0))</f>
        <v>28.248395574027899</v>
      </c>
      <c r="U8" s="192">
        <f>INDEX('Macroeconomic data'!$C$33:$AA$35, MATCH(Summary!$B$22,_xlfn.ANCHORARRAY('Macroeconomic data'!$B$33),0), MATCH('Macroeconomic data'!Y32,'Macroeconomic data'!$C32:$AA32,0))</f>
        <v>28.730826079029445</v>
      </c>
      <c r="V8" s="192">
        <f>INDEX('Macroeconomic data'!$C$33:$AA$35, MATCH(Summary!$B$22,_xlfn.ANCHORARRAY('Macroeconomic data'!$B$33),0), MATCH('Macroeconomic data'!Z32,'Macroeconomic data'!$C32:$AA32,0))</f>
        <v>28.730826079029445</v>
      </c>
      <c r="W8" s="192">
        <f>INDEX('Macroeconomic data'!$C$33:$AA$35, MATCH(Summary!$B$22,_xlfn.ANCHORARRAY('Macroeconomic data'!$B$33),0), MATCH('Macroeconomic data'!AA32,'Macroeconomic data'!$C32:$AA32,0))</f>
        <v>28.730826079029445</v>
      </c>
    </row>
    <row r="9" spans="1:26" x14ac:dyDescent="0.25">
      <c r="A9" s="18" t="s">
        <v>163</v>
      </c>
      <c r="B9" s="18"/>
      <c r="C9" s="218"/>
      <c r="D9" s="192">
        <f>INDEX('Macroeconomic data'!$C$39:$AA$41, MATCH(Summary!$B$22,_xlfn.ANCHORARRAY('Macroeconomic data'!$B$39),0), MATCH('Macroeconomic data'!H38,'Macroeconomic data'!$C38:$AA38,0))</f>
        <v>15.610738</v>
      </c>
      <c r="E9" s="192">
        <f>INDEX('Macroeconomic data'!$C$39:$AA$41, MATCH(Summary!$B$22,_xlfn.ANCHORARRAY('Macroeconomic data'!$B$39),0), MATCH('Macroeconomic data'!I38,'Macroeconomic data'!$C38:$AA38,0))</f>
        <v>16.17564016064258</v>
      </c>
      <c r="F9" s="192">
        <f>INDEX('Macroeconomic data'!$C$39:$AA$41, MATCH(Summary!$B$22,_xlfn.ANCHORARRAY('Macroeconomic data'!$B$39),0), MATCH('Macroeconomic data'!J38,'Macroeconomic data'!$C38:$AA38,0))</f>
        <v>18.757049999999992</v>
      </c>
      <c r="G9" s="192">
        <f>INDEX('Macroeconomic data'!$C$39:$AA$41, MATCH(Summary!$B$22,_xlfn.ANCHORARRAY('Macroeconomic data'!$B$39),0), MATCH('Macroeconomic data'!K38,'Macroeconomic data'!$C38:$AA38,0))</f>
        <v>17.480877599999989</v>
      </c>
      <c r="H9" s="192">
        <f>INDEX('Macroeconomic data'!$C$39:$AA$41, MATCH(Summary!$B$22,_xlfn.ANCHORARRAY('Macroeconomic data'!$B$39),0), MATCH('Macroeconomic data'!L38,'Macroeconomic data'!$C38:$AA38,0))</f>
        <v>17.2063676</v>
      </c>
      <c r="I9" s="192">
        <f>INDEX('Macroeconomic data'!$C$39:$AA$41, MATCH(Summary!$B$22,_xlfn.ANCHORARRAY('Macroeconomic data'!$B$39),0), MATCH('Macroeconomic data'!M38,'Macroeconomic data'!$C38:$AA38,0))</f>
        <v>19.927500000000002</v>
      </c>
      <c r="J9" s="192">
        <f>INDEX('Macroeconomic data'!$C$39:$AA$41, MATCH(Summary!$B$22,_xlfn.ANCHORARRAY('Macroeconomic data'!$B$39),0), MATCH('Macroeconomic data'!N38,'Macroeconomic data'!$C38:$AA38,0))</f>
        <v>19.37</v>
      </c>
      <c r="K9" s="192">
        <f>INDEX('Macroeconomic data'!$C$39:$AA$41, MATCH(Summary!$B$22,_xlfn.ANCHORARRAY('Macroeconomic data'!$B$39),0), MATCH('Macroeconomic data'!O38,'Macroeconomic data'!$C38:$AA38,0))</f>
        <v>19.982500000000002</v>
      </c>
      <c r="L9" s="192">
        <f>INDEX('Macroeconomic data'!$C$39:$AA$41, MATCH(Summary!$B$22,_xlfn.ANCHORARRAY('Macroeconomic data'!$B$39),0), MATCH('Macroeconomic data'!P38,'Macroeconomic data'!$C38:$AA38,0))</f>
        <v>20.699882339904839</v>
      </c>
      <c r="M9" s="192">
        <f>INDEX('Macroeconomic data'!$C$39:$AA$41, MATCH(Summary!$B$22,_xlfn.ANCHORARRAY('Macroeconomic data'!$B$39),0), MATCH('Macroeconomic data'!Q38,'Macroeconomic data'!$C38:$AA38,0))</f>
        <v>21.443019085995456</v>
      </c>
      <c r="N9" s="192">
        <f>INDEX('Macroeconomic data'!$C$39:$AA$41, MATCH(Summary!$B$22,_xlfn.ANCHORARRAY('Macroeconomic data'!$B$39),0), MATCH('Macroeconomic data'!R38,'Macroeconomic data'!$C38:$AA38,0))</f>
        <v>22.212834835102697</v>
      </c>
      <c r="O9" s="192">
        <f>INDEX('Macroeconomic data'!$C$39:$AA$41, MATCH(Summary!$B$22,_xlfn.ANCHORARRAY('Macroeconomic data'!$B$39),0), MATCH('Macroeconomic data'!S38,'Macroeconomic data'!$C38:$AA38,0))</f>
        <v>23.01028737757364</v>
      </c>
      <c r="P9" s="192">
        <f>INDEX('Macroeconomic data'!$C$39:$AA$41, MATCH(Summary!$B$22,_xlfn.ANCHORARRAY('Macroeconomic data'!$B$39),0), MATCH('Macroeconomic data'!T38,'Macroeconomic data'!$C38:$AA38,0))</f>
        <v>23.836368888936406</v>
      </c>
      <c r="Q9" s="192">
        <f>INDEX('Macroeconomic data'!$C$39:$AA$41, MATCH(Summary!$B$22,_xlfn.ANCHORARRAY('Macroeconomic data'!$B$39),0), MATCH('Macroeconomic data'!U38,'Macroeconomic data'!$C38:$AA38,0))</f>
        <v>24.264238026641397</v>
      </c>
      <c r="R9" s="192">
        <f>INDEX('Macroeconomic data'!$C$39:$AA$41, MATCH(Summary!$B$22,_xlfn.ANCHORARRAY('Macroeconomic data'!$B$39),0), MATCH('Macroeconomic data'!V38,'Macroeconomic data'!$C38:$AA38,0))</f>
        <v>24.699787528744732</v>
      </c>
      <c r="S9" s="192">
        <f>INDEX('Macroeconomic data'!$C$39:$AA$41, MATCH(Summary!$B$22,_xlfn.ANCHORARRAY('Macroeconomic data'!$B$39),0), MATCH('Macroeconomic data'!W38,'Macroeconomic data'!$C38:$AA38,0))</f>
        <v>25.143155259822503</v>
      </c>
      <c r="T9" s="192">
        <f>INDEX('Macroeconomic data'!$C$39:$AA$41, MATCH(Summary!$B$22,_xlfn.ANCHORARRAY('Macroeconomic data'!$B$39),0), MATCH('Macroeconomic data'!X38,'Macroeconomic data'!$C38:$AA38,0))</f>
        <v>25.59448155915647</v>
      </c>
      <c r="U9" s="192">
        <f>INDEX('Macroeconomic data'!$C$39:$AA$41, MATCH(Summary!$B$22,_xlfn.ANCHORARRAY('Macroeconomic data'!$B$39),0), MATCH('Macroeconomic data'!Y38,'Macroeconomic data'!$C38:$AA38,0))</f>
        <v>26.053909285155687</v>
      </c>
      <c r="V9" s="192">
        <f>INDEX('Macroeconomic data'!$C$39:$AA$41, MATCH(Summary!$B$22,_xlfn.ANCHORARRAY('Macroeconomic data'!$B$39),0), MATCH('Macroeconomic data'!Z38,'Macroeconomic data'!$C38:$AA38,0))</f>
        <v>26.053909285155687</v>
      </c>
      <c r="W9" s="192">
        <f>INDEX('Macroeconomic data'!$C$39:$AA$41, MATCH(Summary!$B$22,_xlfn.ANCHORARRAY('Macroeconomic data'!$B$39),0), MATCH('Macroeconomic data'!AA38,'Macroeconomic data'!$C38:$AA38,0))</f>
        <v>26.053909285155687</v>
      </c>
    </row>
    <row r="10" spans="1:26" x14ac:dyDescent="0.25">
      <c r="A10" s="18" t="s">
        <v>164</v>
      </c>
      <c r="B10" s="219"/>
      <c r="C10" s="220"/>
      <c r="D10" s="136">
        <f>'Macroeconomic data'!H5</f>
        <v>4.7E-2</v>
      </c>
      <c r="E10" s="136">
        <f>'Macroeconomic data'!I5</f>
        <v>4.0999999999999995E-2</v>
      </c>
      <c r="F10" s="136">
        <f>'Macroeconomic data'!J5</f>
        <v>3.3000000000000002E-2</v>
      </c>
      <c r="G10" s="136">
        <f>'Macroeconomic data'!K5</f>
        <v>4.4999999999999998E-2</v>
      </c>
      <c r="H10" s="136">
        <f>'Macroeconomic data'!L5</f>
        <v>6.9000000000000006E-2</v>
      </c>
      <c r="I10" s="136">
        <f>'Macroeconomic data'!M5</f>
        <v>0.06</v>
      </c>
      <c r="J10" s="136">
        <f>'Macroeconomic data'!N5</f>
        <v>0.05</v>
      </c>
      <c r="K10" s="136">
        <f>'Macroeconomic data'!O5</f>
        <v>4.4999999999999998E-2</v>
      </c>
      <c r="L10" s="136">
        <f>'Macroeconomic data'!P5</f>
        <v>4.4999999999999998E-2</v>
      </c>
      <c r="M10" s="136">
        <f>'Macroeconomic data'!Q5</f>
        <v>4.4999999999999998E-2</v>
      </c>
      <c r="N10" s="136">
        <f>'Macroeconomic data'!R5</f>
        <v>4.4999999999999998E-2</v>
      </c>
      <c r="O10" s="136">
        <f>'Macroeconomic data'!S5</f>
        <v>4.4999999999999998E-2</v>
      </c>
      <c r="P10" s="136">
        <f>'Macroeconomic data'!T5</f>
        <v>4.4999999999999998E-2</v>
      </c>
      <c r="Q10" s="136">
        <f>'Macroeconomic data'!U5</f>
        <v>4.4999999999999998E-2</v>
      </c>
      <c r="R10" s="136">
        <f>'Macroeconomic data'!V5</f>
        <v>4.4999999999999998E-2</v>
      </c>
      <c r="S10" s="136">
        <f>'Macroeconomic data'!W5</f>
        <v>4.4999999999999998E-2</v>
      </c>
      <c r="T10" s="136">
        <f>'Macroeconomic data'!X5</f>
        <v>4.4999999999999998E-2</v>
      </c>
      <c r="U10" s="136">
        <f>'Macroeconomic data'!Y5</f>
        <v>4.4999999999999998E-2</v>
      </c>
      <c r="V10" s="136">
        <f>'Macroeconomic data'!Z5</f>
        <v>4.4999999999999998E-2</v>
      </c>
      <c r="W10" s="136">
        <f>'Macroeconomic data'!AA5</f>
        <v>4.4999999999999998E-2</v>
      </c>
      <c r="X10" s="16" t="s">
        <v>165</v>
      </c>
    </row>
    <row r="11" spans="1:26" x14ac:dyDescent="0.25">
      <c r="A11" s="18" t="s">
        <v>166</v>
      </c>
      <c r="B11" s="18"/>
      <c r="C11" s="26"/>
      <c r="D11" s="3">
        <f>1*(1+D10)</f>
        <v>1.0469999999999999</v>
      </c>
      <c r="E11" s="9">
        <f>D11*(1+E10)</f>
        <v>1.0899269999999999</v>
      </c>
      <c r="F11" s="9">
        <f t="shared" ref="F11:W11" si="0">E11*(1+F10)</f>
        <v>1.1258945909999998</v>
      </c>
      <c r="G11" s="9">
        <f t="shared" si="0"/>
        <v>1.1765598475949997</v>
      </c>
      <c r="H11" s="9">
        <f t="shared" si="0"/>
        <v>1.2577424770790546</v>
      </c>
      <c r="I11" s="9">
        <f t="shared" si="0"/>
        <v>1.333207025703798</v>
      </c>
      <c r="J11" s="9">
        <f t="shared" si="0"/>
        <v>1.399867376988988</v>
      </c>
      <c r="K11" s="9">
        <f t="shared" si="0"/>
        <v>1.4628614089534924</v>
      </c>
      <c r="L11" s="9">
        <f t="shared" si="0"/>
        <v>1.5286901723563995</v>
      </c>
      <c r="M11" s="9">
        <f t="shared" si="0"/>
        <v>1.5974812301124373</v>
      </c>
      <c r="N11" s="9">
        <f t="shared" si="0"/>
        <v>1.6693678854674969</v>
      </c>
      <c r="O11" s="9">
        <f t="shared" si="0"/>
        <v>1.7444894403135343</v>
      </c>
      <c r="P11" s="9">
        <f t="shared" si="0"/>
        <v>1.8229914651276431</v>
      </c>
      <c r="Q11" s="9">
        <f t="shared" si="0"/>
        <v>1.905026081058387</v>
      </c>
      <c r="R11" s="9">
        <f t="shared" si="0"/>
        <v>1.9907522547060144</v>
      </c>
      <c r="S11" s="9">
        <f t="shared" si="0"/>
        <v>2.0803361061677847</v>
      </c>
      <c r="T11" s="9">
        <f t="shared" si="0"/>
        <v>2.173951230945335</v>
      </c>
      <c r="U11" s="9">
        <f t="shared" si="0"/>
        <v>2.2717790363378749</v>
      </c>
      <c r="V11" s="9">
        <f t="shared" si="0"/>
        <v>2.374009092973079</v>
      </c>
      <c r="W11" s="9">
        <f t="shared" si="0"/>
        <v>2.4808395021568677</v>
      </c>
      <c r="X11" s="16" t="s">
        <v>167</v>
      </c>
    </row>
    <row r="12" spans="1:26" x14ac:dyDescent="0.25">
      <c r="A12" s="18" t="s">
        <v>354</v>
      </c>
      <c r="B12" s="18"/>
      <c r="C12" s="26"/>
      <c r="D12" s="198">
        <v>0.28000000000000003</v>
      </c>
      <c r="E12" s="198">
        <v>0.28000000000000003</v>
      </c>
      <c r="F12" s="198">
        <v>0.28000000000000003</v>
      </c>
      <c r="G12" s="198">
        <v>0.28000000000000003</v>
      </c>
      <c r="H12" s="198">
        <v>0.27</v>
      </c>
      <c r="I12" s="198">
        <v>0.27</v>
      </c>
      <c r="J12" s="198">
        <v>0.27</v>
      </c>
      <c r="K12" s="198">
        <v>0.27</v>
      </c>
      <c r="L12" s="198">
        <v>0.27</v>
      </c>
      <c r="M12" s="198">
        <v>0.27</v>
      </c>
      <c r="N12" s="198">
        <v>0.27</v>
      </c>
      <c r="O12" s="198">
        <v>0.27</v>
      </c>
      <c r="P12" s="198">
        <v>0.27</v>
      </c>
      <c r="Q12" s="198">
        <v>0.27</v>
      </c>
      <c r="R12" s="198">
        <v>0.27</v>
      </c>
      <c r="S12" s="198">
        <v>0.27</v>
      </c>
      <c r="T12" s="198">
        <v>0.27</v>
      </c>
      <c r="U12" s="198">
        <v>0.27</v>
      </c>
      <c r="V12" s="198">
        <v>0.27</v>
      </c>
      <c r="W12" s="198">
        <v>0.27</v>
      </c>
      <c r="X12" s="16"/>
      <c r="Y12" s="20" t="s">
        <v>356</v>
      </c>
      <c r="Z12" s="13" t="s">
        <v>357</v>
      </c>
    </row>
    <row r="13" spans="1:26" ht="60" x14ac:dyDescent="0.25">
      <c r="A13" s="18" t="s">
        <v>355</v>
      </c>
      <c r="B13" s="18"/>
      <c r="C13" s="26"/>
      <c r="D13" s="208">
        <v>8.8849999999999998E-2</v>
      </c>
      <c r="E13" s="208">
        <v>8.2549999999999998E-2</v>
      </c>
      <c r="F13" s="208">
        <v>8.7349999999999997E-2</v>
      </c>
      <c r="G13" s="208">
        <v>9.2499999999999999E-2</v>
      </c>
      <c r="H13" s="208">
        <v>0.10185</v>
      </c>
      <c r="I13" s="208">
        <v>0.1028</v>
      </c>
      <c r="J13" s="208">
        <v>0.1028</v>
      </c>
      <c r="K13" s="208">
        <v>0.1028</v>
      </c>
      <c r="L13" s="208">
        <v>0.1028</v>
      </c>
      <c r="M13" s="208">
        <v>0.1028</v>
      </c>
      <c r="N13" s="208">
        <v>0.1028</v>
      </c>
      <c r="O13" s="208">
        <v>0.1028</v>
      </c>
      <c r="P13" s="208">
        <v>0.1028</v>
      </c>
      <c r="Q13" s="208">
        <v>0.1028</v>
      </c>
      <c r="R13" s="208">
        <v>0.1028</v>
      </c>
      <c r="S13" s="208">
        <v>0.1028</v>
      </c>
      <c r="T13" s="208">
        <v>0.1028</v>
      </c>
      <c r="U13" s="208">
        <v>0.1028</v>
      </c>
      <c r="V13" s="208">
        <v>0.1028</v>
      </c>
      <c r="W13" s="208">
        <v>0.1028</v>
      </c>
      <c r="X13" s="16"/>
      <c r="Y13" s="222" t="s">
        <v>358</v>
      </c>
      <c r="Z13" s="40" t="s">
        <v>391</v>
      </c>
    </row>
    <row r="14" spans="1:26" x14ac:dyDescent="0.25">
      <c r="A14" s="18" t="s">
        <v>362</v>
      </c>
      <c r="B14" s="18"/>
      <c r="C14" s="26"/>
      <c r="D14" s="209">
        <v>1.525E-2</v>
      </c>
      <c r="E14" s="209">
        <v>2.0400000000000001E-2</v>
      </c>
      <c r="F14" s="209">
        <v>1.8450000000000001E-2</v>
      </c>
      <c r="G14" s="209">
        <v>1.9E-2</v>
      </c>
      <c r="H14" s="209">
        <v>1.3449999999999998E-2</v>
      </c>
      <c r="I14" s="209">
        <v>1.7500000000000002E-2</v>
      </c>
      <c r="J14" s="210">
        <v>1.7500000000000002E-2</v>
      </c>
      <c r="K14" s="210">
        <v>1.7500000000000002E-2</v>
      </c>
      <c r="L14" s="210">
        <v>1.7500000000000002E-2</v>
      </c>
      <c r="M14" s="210">
        <v>1.7500000000000002E-2</v>
      </c>
      <c r="N14" s="210">
        <v>1.7500000000000002E-2</v>
      </c>
      <c r="O14" s="210">
        <v>1.7500000000000002E-2</v>
      </c>
      <c r="P14" s="210">
        <v>1.7500000000000002E-2</v>
      </c>
      <c r="Q14" s="210">
        <v>1.7500000000000002E-2</v>
      </c>
      <c r="R14" s="210">
        <v>1.7500000000000002E-2</v>
      </c>
      <c r="S14" s="210">
        <v>1.7500000000000002E-2</v>
      </c>
      <c r="T14" s="210">
        <v>1.7500000000000002E-2</v>
      </c>
      <c r="U14" s="210">
        <v>1.7500000000000002E-2</v>
      </c>
      <c r="V14" s="210">
        <v>1.7500000000000002E-2</v>
      </c>
      <c r="W14" s="210">
        <v>1.7500000000000002E-2</v>
      </c>
      <c r="X14" s="16"/>
      <c r="Y14" s="13" t="s">
        <v>367</v>
      </c>
    </row>
    <row r="15" spans="1:26" x14ac:dyDescent="0.25">
      <c r="A15" s="18" t="s">
        <v>352</v>
      </c>
      <c r="B15" s="18"/>
      <c r="C15" s="26"/>
      <c r="D15" s="18">
        <v>1.19</v>
      </c>
      <c r="E15" s="18">
        <v>1.19</v>
      </c>
      <c r="F15" s="18">
        <v>1.19</v>
      </c>
      <c r="G15" s="18">
        <v>0.80500000000000005</v>
      </c>
      <c r="H15" s="18">
        <v>0.84499999999999997</v>
      </c>
      <c r="I15" s="18">
        <v>1.1299999999999999</v>
      </c>
      <c r="J15" s="18">
        <v>1.1299999999999999</v>
      </c>
      <c r="K15" s="18">
        <v>1.1299999999999999</v>
      </c>
      <c r="L15" s="18">
        <v>1.1299999999999999</v>
      </c>
      <c r="M15" s="18">
        <v>1.1299999999999999</v>
      </c>
      <c r="N15" s="18">
        <v>1.1299999999999999</v>
      </c>
      <c r="O15" s="18">
        <v>1.1299999999999999</v>
      </c>
      <c r="P15" s="18">
        <v>1.1299999999999999</v>
      </c>
      <c r="Q15" s="18">
        <v>1.1299999999999999</v>
      </c>
      <c r="R15" s="18">
        <v>1.1299999999999999</v>
      </c>
      <c r="S15" s="18">
        <v>1.1299999999999999</v>
      </c>
      <c r="T15" s="18">
        <v>1.1299999999999999</v>
      </c>
      <c r="U15" s="18">
        <v>1.1299999999999999</v>
      </c>
      <c r="V15" s="18">
        <v>1.1299999999999999</v>
      </c>
      <c r="W15" s="18">
        <v>1.1299999999999999</v>
      </c>
      <c r="X15" s="16"/>
      <c r="Y15" s="13" t="s">
        <v>367</v>
      </c>
    </row>
    <row r="16" spans="1:26" x14ac:dyDescent="0.25">
      <c r="A16" s="18" t="s">
        <v>363</v>
      </c>
      <c r="B16" s="18"/>
      <c r="C16" s="26"/>
      <c r="D16" s="3">
        <f t="shared" ref="D16:W16" si="1">D15*(1+(1-D12)*debt_perc/(1-debt_perc))</f>
        <v>1.5149931034482758</v>
      </c>
      <c r="E16" s="3">
        <f t="shared" si="1"/>
        <v>1.5149931034482758</v>
      </c>
      <c r="F16" s="3">
        <f t="shared" si="1"/>
        <v>1.5149931034482758</v>
      </c>
      <c r="G16" s="3">
        <f t="shared" si="1"/>
        <v>1.0248482758620689</v>
      </c>
      <c r="H16" s="3">
        <f t="shared" si="1"/>
        <v>1.0789775862068967</v>
      </c>
      <c r="I16" s="3">
        <f t="shared" si="1"/>
        <v>1.4428931034482757</v>
      </c>
      <c r="J16" s="3">
        <f t="shared" si="1"/>
        <v>1.4428931034482757</v>
      </c>
      <c r="K16" s="3">
        <f t="shared" si="1"/>
        <v>1.4428931034482757</v>
      </c>
      <c r="L16" s="3">
        <f t="shared" si="1"/>
        <v>1.4428931034482757</v>
      </c>
      <c r="M16" s="3">
        <f t="shared" si="1"/>
        <v>1.4428931034482757</v>
      </c>
      <c r="N16" s="3">
        <f t="shared" si="1"/>
        <v>1.4428931034482757</v>
      </c>
      <c r="O16" s="3">
        <f t="shared" si="1"/>
        <v>1.4428931034482757</v>
      </c>
      <c r="P16" s="3">
        <f t="shared" si="1"/>
        <v>1.4428931034482757</v>
      </c>
      <c r="Q16" s="3">
        <f t="shared" si="1"/>
        <v>1.4428931034482757</v>
      </c>
      <c r="R16" s="3">
        <f t="shared" si="1"/>
        <v>1.4428931034482757</v>
      </c>
      <c r="S16" s="3">
        <f t="shared" si="1"/>
        <v>1.4428931034482757</v>
      </c>
      <c r="T16" s="3">
        <f t="shared" si="1"/>
        <v>1.4428931034482757</v>
      </c>
      <c r="U16" s="3">
        <f t="shared" si="1"/>
        <v>1.4428931034482757</v>
      </c>
      <c r="V16" s="3">
        <f t="shared" si="1"/>
        <v>1.4428931034482757</v>
      </c>
      <c r="W16" s="3">
        <f t="shared" si="1"/>
        <v>1.4428931034482757</v>
      </c>
      <c r="X16" s="16"/>
    </row>
    <row r="17" spans="1:26" x14ac:dyDescent="0.25">
      <c r="A17" s="18" t="s">
        <v>364</v>
      </c>
      <c r="B17" s="18"/>
      <c r="C17" s="26"/>
      <c r="D17" s="209">
        <v>5.7499999999999996E-2</v>
      </c>
      <c r="E17" s="209">
        <v>5.7499999999999996E-2</v>
      </c>
      <c r="F17" s="209">
        <v>5.7499999999999996E-2</v>
      </c>
      <c r="G17" s="209">
        <v>4.9700000000000001E-2</v>
      </c>
      <c r="H17" s="209">
        <v>5.8200000000000002E-2</v>
      </c>
      <c r="I17" s="209">
        <v>5.3500000000000006E-2</v>
      </c>
      <c r="J17" s="209">
        <v>5.3500000000000006E-2</v>
      </c>
      <c r="K17" s="209">
        <v>5.3500000000000006E-2</v>
      </c>
      <c r="L17" s="209">
        <v>5.3500000000000006E-2</v>
      </c>
      <c r="M17" s="209">
        <v>5.3500000000000006E-2</v>
      </c>
      <c r="N17" s="209">
        <v>5.3500000000000006E-2</v>
      </c>
      <c r="O17" s="209">
        <v>5.3500000000000006E-2</v>
      </c>
      <c r="P17" s="209">
        <v>5.3500000000000006E-2</v>
      </c>
      <c r="Q17" s="209">
        <v>5.3500000000000006E-2</v>
      </c>
      <c r="R17" s="209">
        <v>5.3500000000000006E-2</v>
      </c>
      <c r="S17" s="209">
        <v>5.3500000000000006E-2</v>
      </c>
      <c r="T17" s="209">
        <v>5.3500000000000006E-2</v>
      </c>
      <c r="U17" s="209">
        <v>5.3500000000000006E-2</v>
      </c>
      <c r="V17" s="209">
        <v>5.3500000000000006E-2</v>
      </c>
      <c r="W17" s="209">
        <v>5.3500000000000006E-2</v>
      </c>
      <c r="X17" s="16"/>
      <c r="Y17" s="13" t="s">
        <v>367</v>
      </c>
    </row>
    <row r="18" spans="1:26" x14ac:dyDescent="0.25">
      <c r="A18" s="18" t="s">
        <v>365</v>
      </c>
      <c r="B18" s="18"/>
      <c r="C18" s="18"/>
      <c r="D18" s="192">
        <f t="shared" ref="D18:W18" si="2">D14+D13</f>
        <v>0.1041</v>
      </c>
      <c r="E18" s="192">
        <f t="shared" si="2"/>
        <v>0.10295</v>
      </c>
      <c r="F18" s="192">
        <f t="shared" si="2"/>
        <v>0.10580000000000001</v>
      </c>
      <c r="G18" s="192">
        <f t="shared" si="2"/>
        <v>0.1115</v>
      </c>
      <c r="H18" s="192">
        <f t="shared" si="2"/>
        <v>0.1153</v>
      </c>
      <c r="I18" s="192">
        <f t="shared" si="2"/>
        <v>0.1203</v>
      </c>
      <c r="J18" s="192">
        <f t="shared" si="2"/>
        <v>0.1203</v>
      </c>
      <c r="K18" s="192">
        <f t="shared" si="2"/>
        <v>0.1203</v>
      </c>
      <c r="L18" s="192">
        <f t="shared" si="2"/>
        <v>0.1203</v>
      </c>
      <c r="M18" s="192">
        <f t="shared" si="2"/>
        <v>0.1203</v>
      </c>
      <c r="N18" s="192">
        <f t="shared" si="2"/>
        <v>0.1203</v>
      </c>
      <c r="O18" s="192">
        <f t="shared" si="2"/>
        <v>0.1203</v>
      </c>
      <c r="P18" s="192">
        <f t="shared" si="2"/>
        <v>0.1203</v>
      </c>
      <c r="Q18" s="192">
        <f t="shared" si="2"/>
        <v>0.1203</v>
      </c>
      <c r="R18" s="192">
        <f t="shared" si="2"/>
        <v>0.1203</v>
      </c>
      <c r="S18" s="192">
        <f t="shared" si="2"/>
        <v>0.1203</v>
      </c>
      <c r="T18" s="192">
        <f t="shared" si="2"/>
        <v>0.1203</v>
      </c>
      <c r="U18" s="192">
        <f t="shared" si="2"/>
        <v>0.1203</v>
      </c>
      <c r="V18" s="192">
        <f t="shared" si="2"/>
        <v>0.1203</v>
      </c>
      <c r="W18" s="192">
        <f t="shared" si="2"/>
        <v>0.1203</v>
      </c>
    </row>
    <row r="19" spans="1:26" x14ac:dyDescent="0.25">
      <c r="A19" s="18" t="s">
        <v>366</v>
      </c>
      <c r="B19" s="18"/>
      <c r="C19" s="18"/>
      <c r="D19" s="192">
        <f t="shared" ref="D19:W19" si="3">D13+D16*D17</f>
        <v>0.17596210344827584</v>
      </c>
      <c r="E19" s="192">
        <f t="shared" si="3"/>
        <v>0.16966210344827584</v>
      </c>
      <c r="F19" s="192">
        <f t="shared" si="3"/>
        <v>0.17446210344827584</v>
      </c>
      <c r="G19" s="192">
        <f t="shared" si="3"/>
        <v>0.14343495931034483</v>
      </c>
      <c r="H19" s="192">
        <f t="shared" si="3"/>
        <v>0.16464649551724136</v>
      </c>
      <c r="I19" s="192">
        <f t="shared" si="3"/>
        <v>0.17999478103448274</v>
      </c>
      <c r="J19" s="192">
        <f t="shared" si="3"/>
        <v>0.17999478103448274</v>
      </c>
      <c r="K19" s="192">
        <f t="shared" si="3"/>
        <v>0.17999478103448274</v>
      </c>
      <c r="L19" s="192">
        <f t="shared" si="3"/>
        <v>0.17999478103448274</v>
      </c>
      <c r="M19" s="192">
        <f t="shared" si="3"/>
        <v>0.17999478103448274</v>
      </c>
      <c r="N19" s="192">
        <f t="shared" si="3"/>
        <v>0.17999478103448274</v>
      </c>
      <c r="O19" s="192">
        <f t="shared" si="3"/>
        <v>0.17999478103448274</v>
      </c>
      <c r="P19" s="192">
        <f t="shared" si="3"/>
        <v>0.17999478103448274</v>
      </c>
      <c r="Q19" s="192">
        <f t="shared" si="3"/>
        <v>0.17999478103448274</v>
      </c>
      <c r="R19" s="192">
        <f t="shared" si="3"/>
        <v>0.17999478103448274</v>
      </c>
      <c r="S19" s="192">
        <f t="shared" si="3"/>
        <v>0.17999478103448274</v>
      </c>
      <c r="T19" s="192">
        <f t="shared" si="3"/>
        <v>0.17999478103448274</v>
      </c>
      <c r="U19" s="192">
        <f t="shared" si="3"/>
        <v>0.17999478103448274</v>
      </c>
      <c r="V19" s="192">
        <f t="shared" si="3"/>
        <v>0.17999478103448274</v>
      </c>
      <c r="W19" s="192">
        <f t="shared" si="3"/>
        <v>0.17999478103448274</v>
      </c>
    </row>
    <row r="20" spans="1:26" x14ac:dyDescent="0.25">
      <c r="A20" s="18" t="s">
        <v>353</v>
      </c>
      <c r="B20" s="18"/>
      <c r="C20" s="18"/>
      <c r="D20" s="211">
        <f t="shared" ref="D20:W20" si="4">D18*debt_perc*(1-D12)+D19*(1-debt_perc)</f>
        <v>0.14818432500000001</v>
      </c>
      <c r="E20" s="211">
        <f t="shared" si="4"/>
        <v>0.14338912499999998</v>
      </c>
      <c r="F20" s="211">
        <f t="shared" si="4"/>
        <v>0.14743342499999998</v>
      </c>
      <c r="G20" s="211">
        <f t="shared" si="4"/>
        <v>0.12606734549999998</v>
      </c>
      <c r="H20" s="211">
        <f t="shared" si="4"/>
        <v>0.14251518424999998</v>
      </c>
      <c r="I20" s="211">
        <f t="shared" si="4"/>
        <v>0.15464644124999999</v>
      </c>
      <c r="J20" s="211">
        <f t="shared" si="4"/>
        <v>0.15464644124999999</v>
      </c>
      <c r="K20" s="211">
        <f t="shared" si="4"/>
        <v>0.15464644124999999</v>
      </c>
      <c r="L20" s="211">
        <f t="shared" si="4"/>
        <v>0.15464644124999999</v>
      </c>
      <c r="M20" s="211">
        <f t="shared" si="4"/>
        <v>0.15464644124999999</v>
      </c>
      <c r="N20" s="211">
        <f t="shared" si="4"/>
        <v>0.15464644124999999</v>
      </c>
      <c r="O20" s="211">
        <f t="shared" si="4"/>
        <v>0.15464644124999999</v>
      </c>
      <c r="P20" s="211">
        <f t="shared" si="4"/>
        <v>0.15464644124999999</v>
      </c>
      <c r="Q20" s="211">
        <f t="shared" si="4"/>
        <v>0.15464644124999999</v>
      </c>
      <c r="R20" s="211">
        <f t="shared" si="4"/>
        <v>0.15464644124999999</v>
      </c>
      <c r="S20" s="211">
        <f t="shared" si="4"/>
        <v>0.15464644124999999</v>
      </c>
      <c r="T20" s="211">
        <f t="shared" si="4"/>
        <v>0.15464644124999999</v>
      </c>
      <c r="U20" s="211">
        <f t="shared" si="4"/>
        <v>0.15464644124999999</v>
      </c>
      <c r="V20" s="211">
        <f t="shared" si="4"/>
        <v>0.15464644124999999</v>
      </c>
      <c r="W20" s="211">
        <f t="shared" si="4"/>
        <v>0.15464644124999999</v>
      </c>
    </row>
    <row r="21" spans="1:26" x14ac:dyDescent="0.25">
      <c r="A21" s="42" t="s">
        <v>168</v>
      </c>
      <c r="B21" s="18"/>
      <c r="C21" s="18"/>
      <c r="D21" s="199">
        <f t="shared" ref="D21:W21" si="5">(1+D22)/(1+D10)-1</f>
        <v>0.15168248567335252</v>
      </c>
      <c r="E21" s="199">
        <f t="shared" si="5"/>
        <v>0.15192273054755057</v>
      </c>
      <c r="F21" s="199">
        <f t="shared" si="5"/>
        <v>0.16628136092287837</v>
      </c>
      <c r="G21" s="199">
        <f t="shared" si="5"/>
        <v>0.12449142145135572</v>
      </c>
      <c r="H21" s="199">
        <f t="shared" si="5"/>
        <v>0.11807883984520173</v>
      </c>
      <c r="I21" s="199">
        <f t="shared" si="5"/>
        <v>0.14324947176272929</v>
      </c>
      <c r="J21" s="199">
        <f t="shared" si="5"/>
        <v>0.1541375619699934</v>
      </c>
      <c r="K21" s="199">
        <f t="shared" si="5"/>
        <v>0.15965975126171594</v>
      </c>
      <c r="L21" s="199">
        <f t="shared" si="5"/>
        <v>0.15965975126171594</v>
      </c>
      <c r="M21" s="199">
        <f t="shared" si="5"/>
        <v>0.15965975126171594</v>
      </c>
      <c r="N21" s="199">
        <f t="shared" si="5"/>
        <v>0.15965975126171594</v>
      </c>
      <c r="O21" s="199">
        <f t="shared" si="5"/>
        <v>0.15965975126171594</v>
      </c>
      <c r="P21" s="199">
        <f t="shared" si="5"/>
        <v>0.15965975126171594</v>
      </c>
      <c r="Q21" s="199">
        <f t="shared" si="5"/>
        <v>0.15965975126171594</v>
      </c>
      <c r="R21" s="199">
        <f t="shared" si="5"/>
        <v>0.15965975126171594</v>
      </c>
      <c r="S21" s="199">
        <f t="shared" si="5"/>
        <v>0.15965975126171594</v>
      </c>
      <c r="T21" s="199">
        <f t="shared" si="5"/>
        <v>0.15965975126171594</v>
      </c>
      <c r="U21" s="199">
        <f t="shared" si="5"/>
        <v>0.15965975126171594</v>
      </c>
      <c r="V21" s="199">
        <f t="shared" si="5"/>
        <v>0.15965975126171594</v>
      </c>
      <c r="W21" s="199">
        <f t="shared" si="5"/>
        <v>0.15965975126171594</v>
      </c>
      <c r="X21" s="16" t="s">
        <v>393</v>
      </c>
    </row>
    <row r="22" spans="1:26" x14ac:dyDescent="0.25">
      <c r="A22" s="18" t="s">
        <v>169</v>
      </c>
      <c r="B22" s="18"/>
      <c r="C22" s="18"/>
      <c r="D22" s="199">
        <f t="shared" ref="D22:W22" si="6">D20/(1-D12)</f>
        <v>0.20581156250000002</v>
      </c>
      <c r="E22" s="199">
        <f t="shared" si="6"/>
        <v>0.19915156249999999</v>
      </c>
      <c r="F22" s="199">
        <f t="shared" si="6"/>
        <v>0.20476864583333332</v>
      </c>
      <c r="G22" s="199">
        <f t="shared" si="6"/>
        <v>0.17509353541666664</v>
      </c>
      <c r="H22" s="199">
        <f t="shared" si="6"/>
        <v>0.19522627979452054</v>
      </c>
      <c r="I22" s="199">
        <f t="shared" si="6"/>
        <v>0.21184444006849315</v>
      </c>
      <c r="J22" s="199">
        <f t="shared" si="6"/>
        <v>0.21184444006849315</v>
      </c>
      <c r="K22" s="199">
        <f t="shared" si="6"/>
        <v>0.21184444006849315</v>
      </c>
      <c r="L22" s="199">
        <f t="shared" si="6"/>
        <v>0.21184444006849315</v>
      </c>
      <c r="M22" s="199">
        <f t="shared" si="6"/>
        <v>0.21184444006849315</v>
      </c>
      <c r="N22" s="199">
        <f t="shared" si="6"/>
        <v>0.21184444006849315</v>
      </c>
      <c r="O22" s="199">
        <f t="shared" si="6"/>
        <v>0.21184444006849315</v>
      </c>
      <c r="P22" s="199">
        <f t="shared" si="6"/>
        <v>0.21184444006849315</v>
      </c>
      <c r="Q22" s="199">
        <f t="shared" si="6"/>
        <v>0.21184444006849315</v>
      </c>
      <c r="R22" s="199">
        <f t="shared" si="6"/>
        <v>0.21184444006849315</v>
      </c>
      <c r="S22" s="199">
        <f t="shared" si="6"/>
        <v>0.21184444006849315</v>
      </c>
      <c r="T22" s="199">
        <f t="shared" si="6"/>
        <v>0.21184444006849315</v>
      </c>
      <c r="U22" s="199">
        <f t="shared" si="6"/>
        <v>0.21184444006849315</v>
      </c>
      <c r="V22" s="199">
        <f t="shared" si="6"/>
        <v>0.21184444006849315</v>
      </c>
      <c r="W22" s="199">
        <f t="shared" si="6"/>
        <v>0.21184444006849315</v>
      </c>
      <c r="X22" s="16" t="s">
        <v>392</v>
      </c>
    </row>
    <row r="23" spans="1:26" x14ac:dyDescent="0.25">
      <c r="A23" s="18" t="s">
        <v>170</v>
      </c>
      <c r="B23" s="18"/>
      <c r="C23" s="18"/>
      <c r="D23" s="3">
        <f>1+D22</f>
        <v>1.2058115625000001</v>
      </c>
      <c r="E23" s="3">
        <f t="shared" ref="E23:W23" si="7">D23*(1+E22)</f>
        <v>1.4459508192524415</v>
      </c>
      <c r="F23" s="3">
        <f t="shared" si="7"/>
        <v>1.7420362104523628</v>
      </c>
      <c r="G23" s="3">
        <f t="shared" si="7"/>
        <v>2.0470554893643196</v>
      </c>
      <c r="H23" s="3">
        <f t="shared" si="7"/>
        <v>2.4466945170858674</v>
      </c>
      <c r="I23" s="3">
        <f t="shared" si="7"/>
        <v>2.9650131470765753</v>
      </c>
      <c r="J23" s="3">
        <f t="shared" si="7"/>
        <v>3.5931346970147331</v>
      </c>
      <c r="K23" s="3">
        <f t="shared" si="7"/>
        <v>4.3543203049944941</v>
      </c>
      <c r="L23" s="3">
        <f t="shared" si="7"/>
        <v>5.2767588518849227</v>
      </c>
      <c r="M23" s="3">
        <f t="shared" si="7"/>
        <v>6.3946108762389491</v>
      </c>
      <c r="N23" s="3">
        <f t="shared" si="7"/>
        <v>7.7492736367716857</v>
      </c>
      <c r="O23" s="3">
        <f t="shared" si="7"/>
        <v>9.3909141712911186</v>
      </c>
      <c r="P23" s="3">
        <f t="shared" si="7"/>
        <v>11.380327125639562</v>
      </c>
      <c r="Q23" s="3">
        <f t="shared" si="7"/>
        <v>13.79118615336696</v>
      </c>
      <c r="R23" s="3">
        <f t="shared" si="7"/>
        <v>16.71277226190734</v>
      </c>
      <c r="S23" s="3">
        <f t="shared" si="7"/>
        <v>20.253280143723345</v>
      </c>
      <c r="T23" s="3">
        <f t="shared" si="7"/>
        <v>24.543824935320746</v>
      </c>
      <c r="U23" s="3">
        <f t="shared" si="7"/>
        <v>29.743297785882888</v>
      </c>
      <c r="V23" s="3">
        <f t="shared" si="7"/>
        <v>36.044250051123697</v>
      </c>
      <c r="W23" s="3">
        <f t="shared" si="7"/>
        <v>43.680024020892752</v>
      </c>
      <c r="X23" s="16" t="s">
        <v>171</v>
      </c>
      <c r="Z23" s="73"/>
    </row>
    <row r="24" spans="1:26" x14ac:dyDescent="0.25">
      <c r="F24" s="134"/>
      <c r="G24" s="134"/>
      <c r="H24" s="134"/>
      <c r="I24" s="134"/>
      <c r="J24" s="134"/>
      <c r="K24" s="134"/>
    </row>
  </sheetData>
  <hyperlinks>
    <hyperlink ref="Y13" location=":~:text=The%20South%20Africa%2010%20Years,%3A15%20GMT%2B0)." display="http://www.worldgovernmentbonds.com/bond-historical-data/south-africa/10-years/ - :~:text=The%20South%20Africa%2010%20Years,%3A15%20GMT%2B0)." xr:uid="{3C8170BD-62FA-4EF8-A2A9-414E3B577C82}"/>
    <hyperlink ref="Y12" display="https://orbitax.com/taxhub/corporatetaxrates/ZA/South-Africa" xr:uid="{DFB7BEC6-3E49-46C7-BB08-C7D2B637B68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C01A4-9C22-404D-8E84-8F0926AC5101}">
  <dimension ref="A1:AA65"/>
  <sheetViews>
    <sheetView workbookViewId="0">
      <selection activeCell="H38" sqref="H38:AA38"/>
    </sheetView>
  </sheetViews>
  <sheetFormatPr defaultColWidth="8.5703125" defaultRowHeight="15" x14ac:dyDescent="0.25"/>
  <cols>
    <col min="1" max="1" width="45.7109375" style="13" customWidth="1"/>
    <col min="2" max="2" width="25.7109375" style="13" customWidth="1"/>
    <col min="3" max="7" width="10.7109375" style="13" customWidth="1"/>
    <col min="8" max="27" width="15.7109375" style="13" customWidth="1"/>
    <col min="28" max="16384" width="8.5703125" style="13"/>
  </cols>
  <sheetData>
    <row r="1" spans="1:27" ht="18" x14ac:dyDescent="0.25">
      <c r="A1" s="89" t="s">
        <v>271</v>
      </c>
      <c r="B1" s="91"/>
      <c r="C1" s="91"/>
      <c r="D1" s="92"/>
      <c r="E1" s="92"/>
      <c r="F1" s="92"/>
      <c r="G1" s="92"/>
      <c r="H1" s="92"/>
      <c r="I1" s="92"/>
      <c r="J1" s="92"/>
      <c r="K1" s="92"/>
      <c r="L1" s="92"/>
      <c r="M1" s="92"/>
      <c r="N1" s="92"/>
      <c r="O1" s="92"/>
      <c r="P1" s="92"/>
      <c r="Q1" s="92"/>
      <c r="R1" s="92"/>
      <c r="S1" s="92"/>
      <c r="T1" s="92"/>
      <c r="U1" s="92"/>
      <c r="V1" s="92"/>
      <c r="W1" s="92"/>
      <c r="X1" s="92"/>
    </row>
    <row r="3" spans="1:27" x14ac:dyDescent="0.25">
      <c r="A3" s="49" t="s">
        <v>164</v>
      </c>
    </row>
    <row r="4" spans="1:27" x14ac:dyDescent="0.25">
      <c r="A4" s="30" t="s">
        <v>272</v>
      </c>
      <c r="B4" s="30" t="s">
        <v>273</v>
      </c>
      <c r="C4" s="48"/>
      <c r="D4" s="48"/>
      <c r="E4" s="48"/>
      <c r="F4" s="48"/>
      <c r="G4" s="48"/>
      <c r="H4" s="53">
        <v>2018</v>
      </c>
      <c r="I4" s="53">
        <v>2019</v>
      </c>
      <c r="J4" s="53">
        <v>2020</v>
      </c>
      <c r="K4" s="53">
        <v>2021</v>
      </c>
      <c r="L4" s="53">
        <v>2022</v>
      </c>
      <c r="M4" s="53">
        <v>2023</v>
      </c>
      <c r="N4" s="53">
        <v>2024</v>
      </c>
      <c r="O4" s="53">
        <v>2025</v>
      </c>
      <c r="P4" s="53">
        <v>2026</v>
      </c>
      <c r="Q4" s="53">
        <v>2027</v>
      </c>
      <c r="R4" s="53">
        <v>2028</v>
      </c>
      <c r="S4" s="53">
        <v>2029</v>
      </c>
      <c r="T4" s="53">
        <v>2030</v>
      </c>
      <c r="U4" s="53">
        <v>2031</v>
      </c>
      <c r="V4" s="53">
        <v>2032</v>
      </c>
      <c r="W4" s="53">
        <v>2033</v>
      </c>
      <c r="X4" s="53">
        <v>2034</v>
      </c>
      <c r="Y4" s="53">
        <v>2035</v>
      </c>
      <c r="Z4" s="53">
        <v>2036</v>
      </c>
      <c r="AA4" s="53">
        <v>2037</v>
      </c>
    </row>
    <row r="5" spans="1:27" x14ac:dyDescent="0.25">
      <c r="A5" s="44" t="s">
        <v>274</v>
      </c>
      <c r="B5" s="114" t="s">
        <v>275</v>
      </c>
      <c r="C5" s="195"/>
      <c r="D5" s="195"/>
      <c r="E5" s="195"/>
      <c r="F5" s="195"/>
      <c r="G5" s="195"/>
      <c r="H5" s="185">
        <f>4.7/100</f>
        <v>4.7E-2</v>
      </c>
      <c r="I5" s="185">
        <f>4.1/100</f>
        <v>4.0999999999999995E-2</v>
      </c>
      <c r="J5" s="185">
        <f>3.3/100</f>
        <v>3.3000000000000002E-2</v>
      </c>
      <c r="K5" s="185">
        <f>4.5/100</f>
        <v>4.4999999999999998E-2</v>
      </c>
      <c r="L5" s="185">
        <f>6.9/100</f>
        <v>6.9000000000000006E-2</v>
      </c>
      <c r="M5" s="185">
        <f>6/100</f>
        <v>0.06</v>
      </c>
      <c r="N5" s="185">
        <f>5/100</f>
        <v>0.05</v>
      </c>
      <c r="O5" s="185">
        <f t="shared" ref="O5:AA5" si="0">4.5/100</f>
        <v>4.4999999999999998E-2</v>
      </c>
      <c r="P5" s="185">
        <f t="shared" si="0"/>
        <v>4.4999999999999998E-2</v>
      </c>
      <c r="Q5" s="185">
        <f t="shared" si="0"/>
        <v>4.4999999999999998E-2</v>
      </c>
      <c r="R5" s="185">
        <f t="shared" si="0"/>
        <v>4.4999999999999998E-2</v>
      </c>
      <c r="S5" s="185">
        <f t="shared" si="0"/>
        <v>4.4999999999999998E-2</v>
      </c>
      <c r="T5" s="185">
        <f t="shared" si="0"/>
        <v>4.4999999999999998E-2</v>
      </c>
      <c r="U5" s="185">
        <f t="shared" si="0"/>
        <v>4.4999999999999998E-2</v>
      </c>
      <c r="V5" s="185">
        <f t="shared" si="0"/>
        <v>4.4999999999999998E-2</v>
      </c>
      <c r="W5" s="185">
        <f t="shared" si="0"/>
        <v>4.4999999999999998E-2</v>
      </c>
      <c r="X5" s="186">
        <f t="shared" si="0"/>
        <v>4.4999999999999998E-2</v>
      </c>
      <c r="Y5" s="186">
        <f t="shared" si="0"/>
        <v>4.4999999999999998E-2</v>
      </c>
      <c r="Z5" s="186">
        <f t="shared" si="0"/>
        <v>4.4999999999999998E-2</v>
      </c>
      <c r="AA5" s="186">
        <f t="shared" si="0"/>
        <v>4.4999999999999998E-2</v>
      </c>
    </row>
    <row r="6" spans="1:27" x14ac:dyDescent="0.25">
      <c r="A6" s="35" t="s">
        <v>276</v>
      </c>
      <c r="B6" s="36"/>
      <c r="C6" s="36"/>
      <c r="D6" s="36"/>
      <c r="E6" s="36"/>
      <c r="F6" s="36"/>
      <c r="G6" s="36"/>
      <c r="H6" s="36"/>
      <c r="I6" s="36"/>
      <c r="J6" s="36"/>
      <c r="K6" s="36"/>
      <c r="L6" s="36"/>
      <c r="M6" s="36"/>
      <c r="N6" s="36"/>
      <c r="O6" s="36"/>
      <c r="P6" s="36"/>
      <c r="Q6" s="36"/>
      <c r="R6" s="36"/>
      <c r="S6" s="36"/>
      <c r="T6" s="36"/>
      <c r="U6" s="36"/>
      <c r="V6" s="36"/>
      <c r="W6" s="37"/>
    </row>
    <row r="7" spans="1:27" x14ac:dyDescent="0.25">
      <c r="A7" s="38" t="s">
        <v>277</v>
      </c>
      <c r="B7" s="21" t="s">
        <v>278</v>
      </c>
      <c r="W7" s="39"/>
    </row>
    <row r="8" spans="1:27" x14ac:dyDescent="0.25">
      <c r="A8" s="38" t="s">
        <v>279</v>
      </c>
      <c r="B8" s="21" t="s">
        <v>360</v>
      </c>
      <c r="W8" s="39"/>
    </row>
    <row r="9" spans="1:27" ht="30" x14ac:dyDescent="0.25">
      <c r="A9" s="43" t="s">
        <v>280</v>
      </c>
      <c r="B9" s="21" t="s">
        <v>360</v>
      </c>
      <c r="W9" s="39"/>
    </row>
    <row r="10" spans="1:27" x14ac:dyDescent="0.25">
      <c r="A10" s="45" t="s">
        <v>281</v>
      </c>
      <c r="B10" s="46"/>
      <c r="C10" s="46"/>
      <c r="D10" s="46"/>
      <c r="E10" s="46"/>
      <c r="F10" s="46"/>
      <c r="G10" s="46"/>
      <c r="H10" s="46"/>
      <c r="I10" s="46"/>
      <c r="J10" s="46"/>
      <c r="K10" s="46"/>
      <c r="L10" s="46"/>
      <c r="M10" s="46"/>
      <c r="N10" s="46"/>
      <c r="O10" s="46"/>
      <c r="P10" s="46"/>
      <c r="Q10" s="46"/>
      <c r="R10" s="46"/>
      <c r="S10" s="46"/>
      <c r="T10" s="46"/>
      <c r="U10" s="46"/>
      <c r="V10" s="46"/>
      <c r="W10" s="47"/>
    </row>
    <row r="13" spans="1:27" x14ac:dyDescent="0.25">
      <c r="A13" s="49" t="s">
        <v>282</v>
      </c>
    </row>
    <row r="14" spans="1:27" x14ac:dyDescent="0.25">
      <c r="A14" s="31" t="s">
        <v>283</v>
      </c>
      <c r="B14" s="145"/>
      <c r="C14" s="53"/>
      <c r="D14" s="53"/>
      <c r="E14" s="53"/>
      <c r="F14" s="53"/>
      <c r="G14" s="53"/>
      <c r="H14" s="53">
        <f t="shared" ref="H14:AA14" si="1">H4</f>
        <v>2018</v>
      </c>
      <c r="I14" s="53">
        <f t="shared" si="1"/>
        <v>2019</v>
      </c>
      <c r="J14" s="53">
        <f t="shared" si="1"/>
        <v>2020</v>
      </c>
      <c r="K14" s="53">
        <f t="shared" si="1"/>
        <v>2021</v>
      </c>
      <c r="L14" s="53">
        <f t="shared" si="1"/>
        <v>2022</v>
      </c>
      <c r="M14" s="53">
        <f t="shared" si="1"/>
        <v>2023</v>
      </c>
      <c r="N14" s="53">
        <f t="shared" si="1"/>
        <v>2024</v>
      </c>
      <c r="O14" s="53">
        <f t="shared" si="1"/>
        <v>2025</v>
      </c>
      <c r="P14" s="53">
        <f t="shared" si="1"/>
        <v>2026</v>
      </c>
      <c r="Q14" s="53">
        <f t="shared" si="1"/>
        <v>2027</v>
      </c>
      <c r="R14" s="53">
        <f t="shared" si="1"/>
        <v>2028</v>
      </c>
      <c r="S14" s="53">
        <f t="shared" si="1"/>
        <v>2029</v>
      </c>
      <c r="T14" s="53">
        <f t="shared" si="1"/>
        <v>2030</v>
      </c>
      <c r="U14" s="53">
        <f t="shared" si="1"/>
        <v>2031</v>
      </c>
      <c r="V14" s="53">
        <f t="shared" si="1"/>
        <v>2032</v>
      </c>
      <c r="W14" s="53">
        <f t="shared" si="1"/>
        <v>2033</v>
      </c>
      <c r="X14" s="53">
        <f t="shared" si="1"/>
        <v>2034</v>
      </c>
      <c r="Y14" s="53">
        <f t="shared" si="1"/>
        <v>2035</v>
      </c>
      <c r="Z14" s="53">
        <f t="shared" si="1"/>
        <v>2036</v>
      </c>
      <c r="AA14" s="53">
        <f t="shared" si="1"/>
        <v>2037</v>
      </c>
    </row>
    <row r="15" spans="1:27" x14ac:dyDescent="0.25">
      <c r="A15" s="104" t="s">
        <v>284</v>
      </c>
      <c r="B15" s="36" t="s">
        <v>285</v>
      </c>
      <c r="C15" s="41"/>
      <c r="D15" s="41"/>
      <c r="E15" s="41"/>
      <c r="F15" s="41"/>
      <c r="G15" s="41"/>
      <c r="H15" s="41"/>
      <c r="I15" s="41"/>
      <c r="J15" s="41"/>
      <c r="K15" s="41"/>
      <c r="L15" s="144">
        <f>6.58/100</f>
        <v>6.5799999999999997E-2</v>
      </c>
      <c r="M15" s="41"/>
      <c r="N15" s="41"/>
      <c r="O15" s="41"/>
      <c r="P15" s="41"/>
      <c r="Q15" s="41"/>
      <c r="R15" s="41"/>
      <c r="S15" s="41"/>
      <c r="T15" s="41"/>
      <c r="U15" s="41"/>
      <c r="V15" s="41"/>
      <c r="W15" s="41"/>
      <c r="X15" s="41"/>
      <c r="Y15" s="41"/>
      <c r="Z15" s="41"/>
      <c r="AA15" s="41"/>
    </row>
    <row r="16" spans="1:27" x14ac:dyDescent="0.25">
      <c r="A16" s="38" t="s">
        <v>286</v>
      </c>
      <c r="B16" s="13" t="s">
        <v>285</v>
      </c>
      <c r="C16" s="18"/>
      <c r="D16" s="18"/>
      <c r="E16" s="18"/>
      <c r="F16" s="18"/>
      <c r="G16" s="18"/>
      <c r="H16" s="18"/>
      <c r="I16" s="18"/>
      <c r="J16" s="18"/>
      <c r="K16" s="18"/>
      <c r="L16" s="26">
        <f>7.47/100</f>
        <v>7.4700000000000003E-2</v>
      </c>
      <c r="M16" s="18"/>
      <c r="N16" s="18"/>
      <c r="O16" s="18"/>
      <c r="P16" s="18"/>
      <c r="Q16" s="18"/>
      <c r="R16" s="18"/>
      <c r="S16" s="18"/>
      <c r="T16" s="18"/>
      <c r="U16" s="18"/>
      <c r="V16" s="18"/>
      <c r="W16" s="18"/>
      <c r="X16" s="18"/>
      <c r="Y16" s="18"/>
      <c r="Z16" s="18"/>
      <c r="AA16" s="18"/>
    </row>
    <row r="17" spans="1:27" x14ac:dyDescent="0.25">
      <c r="A17" s="38" t="s">
        <v>287</v>
      </c>
      <c r="B17" s="13" t="s">
        <v>288</v>
      </c>
      <c r="C17" s="18"/>
      <c r="D17" s="18"/>
      <c r="E17" s="18"/>
      <c r="F17" s="18"/>
      <c r="G17" s="18"/>
      <c r="H17" s="18"/>
      <c r="I17" s="18"/>
      <c r="J17" s="26"/>
      <c r="K17" s="18"/>
      <c r="L17" s="79">
        <f>8.62/100</f>
        <v>8.6199999999999999E-2</v>
      </c>
      <c r="M17" s="18"/>
      <c r="N17" s="18"/>
      <c r="O17" s="18"/>
      <c r="P17" s="18"/>
      <c r="Q17" s="18"/>
      <c r="R17" s="18"/>
      <c r="S17" s="18"/>
      <c r="T17" s="18"/>
      <c r="U17" s="18"/>
      <c r="V17" s="18"/>
      <c r="W17" s="18"/>
      <c r="X17" s="18"/>
      <c r="Y17" s="18"/>
      <c r="Z17" s="18"/>
      <c r="AA17" s="18"/>
    </row>
    <row r="18" spans="1:27" x14ac:dyDescent="0.25">
      <c r="A18" s="38" t="s">
        <v>289</v>
      </c>
      <c r="B18" s="13" t="s">
        <v>288</v>
      </c>
      <c r="C18" s="18"/>
      <c r="D18" s="18"/>
      <c r="E18" s="18"/>
      <c r="F18" s="18"/>
      <c r="G18" s="18"/>
      <c r="H18" s="18"/>
      <c r="I18" s="18"/>
      <c r="J18" s="18"/>
      <c r="K18" s="18"/>
      <c r="L18" s="26">
        <f>10.19/100</f>
        <v>0.10189999999999999</v>
      </c>
      <c r="M18" s="18"/>
      <c r="N18" s="18"/>
      <c r="O18" s="18"/>
      <c r="P18" s="18"/>
      <c r="Q18" s="18"/>
      <c r="R18" s="18"/>
      <c r="S18" s="18"/>
      <c r="T18" s="18"/>
      <c r="U18" s="18"/>
      <c r="V18" s="18"/>
      <c r="W18" s="18"/>
      <c r="X18" s="18"/>
      <c r="Y18" s="18"/>
      <c r="Z18" s="18"/>
      <c r="AA18" s="18"/>
    </row>
    <row r="19" spans="1:27" x14ac:dyDescent="0.25">
      <c r="A19" s="45" t="s">
        <v>290</v>
      </c>
      <c r="B19" s="46" t="s">
        <v>288</v>
      </c>
      <c r="C19" s="18"/>
      <c r="D19" s="18"/>
      <c r="E19" s="18"/>
      <c r="F19" s="18"/>
      <c r="G19" s="18"/>
      <c r="H19" s="18"/>
      <c r="I19" s="18"/>
      <c r="J19" s="18"/>
      <c r="K19" s="18"/>
      <c r="L19" s="26">
        <f>11.31/100</f>
        <v>0.11310000000000001</v>
      </c>
      <c r="M19" s="18"/>
      <c r="N19" s="18"/>
      <c r="O19" s="18"/>
      <c r="P19" s="18"/>
      <c r="Q19" s="18"/>
      <c r="R19" s="18"/>
      <c r="S19" s="18"/>
      <c r="T19" s="18"/>
      <c r="U19" s="18"/>
      <c r="V19" s="18"/>
      <c r="W19" s="18"/>
      <c r="X19" s="18"/>
      <c r="Y19" s="18"/>
      <c r="Z19" s="18"/>
      <c r="AA19" s="18"/>
    </row>
    <row r="20" spans="1:27" x14ac:dyDescent="0.25">
      <c r="H20" s="25"/>
    </row>
    <row r="21" spans="1:27" x14ac:dyDescent="0.25">
      <c r="A21" s="23" t="s">
        <v>47</v>
      </c>
      <c r="B21" s="36"/>
      <c r="C21" s="36"/>
      <c r="D21" s="37"/>
    </row>
    <row r="22" spans="1:27" ht="17.850000000000001" customHeight="1" x14ac:dyDescent="0.25">
      <c r="A22" s="110" t="s">
        <v>291</v>
      </c>
      <c r="B22" s="242" t="s">
        <v>292</v>
      </c>
      <c r="C22" s="243"/>
      <c r="D22" s="244"/>
    </row>
    <row r="23" spans="1:27" x14ac:dyDescent="0.25">
      <c r="A23" s="111" t="s">
        <v>293</v>
      </c>
      <c r="B23" s="242"/>
      <c r="C23" s="243"/>
      <c r="D23" s="244"/>
    </row>
    <row r="24" spans="1:27" x14ac:dyDescent="0.25">
      <c r="A24" s="41" t="s">
        <v>294</v>
      </c>
      <c r="B24" s="242"/>
      <c r="C24" s="243"/>
      <c r="D24" s="244"/>
    </row>
    <row r="25" spans="1:27" x14ac:dyDescent="0.25">
      <c r="A25" s="45"/>
      <c r="B25" s="46"/>
      <c r="C25" s="46"/>
      <c r="D25" s="47"/>
    </row>
    <row r="27" spans="1:27" x14ac:dyDescent="0.25">
      <c r="A27" s="31" t="s">
        <v>295</v>
      </c>
      <c r="B27" s="146"/>
      <c r="C27" s="53"/>
      <c r="D27" s="53"/>
      <c r="E27" s="53"/>
      <c r="F27" s="53"/>
      <c r="G27" s="53"/>
      <c r="H27" s="53">
        <f t="shared" ref="H27:AA27" si="2">H4</f>
        <v>2018</v>
      </c>
      <c r="I27" s="53">
        <f t="shared" si="2"/>
        <v>2019</v>
      </c>
      <c r="J27" s="53">
        <f t="shared" si="2"/>
        <v>2020</v>
      </c>
      <c r="K27" s="53">
        <f t="shared" si="2"/>
        <v>2021</v>
      </c>
      <c r="L27" s="53">
        <f t="shared" si="2"/>
        <v>2022</v>
      </c>
      <c r="M27" s="53">
        <f t="shared" si="2"/>
        <v>2023</v>
      </c>
      <c r="N27" s="53">
        <f t="shared" si="2"/>
        <v>2024</v>
      </c>
      <c r="O27" s="53">
        <f t="shared" si="2"/>
        <v>2025</v>
      </c>
      <c r="P27" s="53">
        <f t="shared" si="2"/>
        <v>2026</v>
      </c>
      <c r="Q27" s="53">
        <f t="shared" si="2"/>
        <v>2027</v>
      </c>
      <c r="R27" s="53">
        <f t="shared" si="2"/>
        <v>2028</v>
      </c>
      <c r="S27" s="53">
        <f t="shared" si="2"/>
        <v>2029</v>
      </c>
      <c r="T27" s="53">
        <f t="shared" si="2"/>
        <v>2030</v>
      </c>
      <c r="U27" s="53">
        <f t="shared" si="2"/>
        <v>2031</v>
      </c>
      <c r="V27" s="53">
        <f t="shared" si="2"/>
        <v>2032</v>
      </c>
      <c r="W27" s="53">
        <f t="shared" si="2"/>
        <v>2033</v>
      </c>
      <c r="X27" s="53">
        <f t="shared" si="2"/>
        <v>2034</v>
      </c>
      <c r="Y27" s="53">
        <f t="shared" si="2"/>
        <v>2035</v>
      </c>
      <c r="Z27" s="53">
        <f t="shared" si="2"/>
        <v>2036</v>
      </c>
      <c r="AA27" s="53">
        <f t="shared" si="2"/>
        <v>2037</v>
      </c>
    </row>
    <row r="28" spans="1:27" x14ac:dyDescent="0.25">
      <c r="A28" s="238" t="s">
        <v>296</v>
      </c>
      <c r="B28" s="189" t="str" cm="1">
        <f t="array" ref="B28:B30">currency_scenario</f>
        <v>Low scenario</v>
      </c>
      <c r="C28" s="113"/>
      <c r="D28" s="113"/>
      <c r="E28" s="113"/>
      <c r="F28" s="113"/>
      <c r="G28" s="113"/>
      <c r="H28" s="113">
        <v>13.246775199999993</v>
      </c>
      <c r="I28" s="113">
        <v>14.451177510040162</v>
      </c>
      <c r="J28" s="113">
        <v>16.441369841269843</v>
      </c>
      <c r="K28" s="113">
        <v>14.783901599999995</v>
      </c>
      <c r="L28" s="113">
        <v>16.381369199999995</v>
      </c>
      <c r="M28" s="3">
        <f t="shared" ref="M28:AA28" si="3">M29/1.15</f>
        <v>16.041304347826088</v>
      </c>
      <c r="N28" s="3">
        <f t="shared" si="3"/>
        <v>15.434782608695654</v>
      </c>
      <c r="O28" s="3">
        <f t="shared" si="3"/>
        <v>15.043478260869566</v>
      </c>
      <c r="P28" s="3">
        <f t="shared" si="3"/>
        <v>15.62825682233842</v>
      </c>
      <c r="Q28" s="3">
        <f t="shared" si="3"/>
        <v>16.23576722547471</v>
      </c>
      <c r="R28" s="3">
        <f t="shared" si="3"/>
        <v>16.86689311523336</v>
      </c>
      <c r="S28" s="3">
        <f t="shared" si="3"/>
        <v>17.522552486113785</v>
      </c>
      <c r="T28" s="3">
        <f t="shared" si="3"/>
        <v>18.203699017414703</v>
      </c>
      <c r="U28" s="3">
        <f t="shared" si="3"/>
        <v>18.55751123890424</v>
      </c>
      <c r="V28" s="3">
        <f t="shared" si="3"/>
        <v>18.91820025438799</v>
      </c>
      <c r="W28" s="3">
        <f t="shared" si="3"/>
        <v>19.285899723170985</v>
      </c>
      <c r="X28" s="3">
        <f t="shared" si="3"/>
        <v>19.660745902398176</v>
      </c>
      <c r="Y28" s="3">
        <f t="shared" si="3"/>
        <v>20.042877697546739</v>
      </c>
      <c r="Z28" s="3">
        <f t="shared" si="3"/>
        <v>20.042877697546739</v>
      </c>
      <c r="AA28" s="3">
        <f t="shared" si="3"/>
        <v>20.042877697546739</v>
      </c>
    </row>
    <row r="29" spans="1:27" x14ac:dyDescent="0.25">
      <c r="A29" s="238"/>
      <c r="B29" s="189" t="str">
        <v>Base scenario</v>
      </c>
      <c r="C29" s="113"/>
      <c r="D29" s="113"/>
      <c r="E29" s="113"/>
      <c r="F29" s="113"/>
      <c r="G29" s="113"/>
      <c r="H29" s="113">
        <v>13.246775199999993</v>
      </c>
      <c r="I29" s="113">
        <v>14.451177510040162</v>
      </c>
      <c r="J29" s="113">
        <v>16.441369841269843</v>
      </c>
      <c r="K29" s="113">
        <v>14.783901599999995</v>
      </c>
      <c r="L29" s="113">
        <v>16.381369199999995</v>
      </c>
      <c r="M29" s="3">
        <f>B55</f>
        <v>18.447499999999998</v>
      </c>
      <c r="N29" s="113">
        <f>F55</f>
        <v>17.75</v>
      </c>
      <c r="O29" s="113">
        <f>J55</f>
        <v>17.3</v>
      </c>
      <c r="P29" s="113">
        <f>O29*(1+$C$43)</f>
        <v>17.972495345689182</v>
      </c>
      <c r="Q29" s="113">
        <f>P29*(1+$C$43)</f>
        <v>18.671132309295913</v>
      </c>
      <c r="R29" s="113">
        <f>Q29*(1+$C$43)</f>
        <v>19.396927082518364</v>
      </c>
      <c r="S29" s="113">
        <f>R29*(1+$C$43)</f>
        <v>20.15093535903085</v>
      </c>
      <c r="T29" s="113">
        <f>S29*(1+$C$43)</f>
        <v>20.934253870026907</v>
      </c>
      <c r="U29" s="113">
        <f>T29*(1+$C$44)</f>
        <v>21.341137924739876</v>
      </c>
      <c r="V29" s="113">
        <f>U29*(1+$C$44)</f>
        <v>21.755930292546186</v>
      </c>
      <c r="W29" s="113">
        <f>V29*(1+$C$44)</f>
        <v>22.178784681646633</v>
      </c>
      <c r="X29" s="113">
        <f>W29*(1+$C$44)</f>
        <v>22.6098577877579</v>
      </c>
      <c r="Y29" s="113">
        <f>X29*(1+$C$44)</f>
        <v>23.049309352178749</v>
      </c>
      <c r="Z29" s="113">
        <f t="shared" ref="Z29:AA29" si="4">Y29</f>
        <v>23.049309352178749</v>
      </c>
      <c r="AA29" s="113">
        <f t="shared" si="4"/>
        <v>23.049309352178749</v>
      </c>
    </row>
    <row r="30" spans="1:27" x14ac:dyDescent="0.25">
      <c r="A30" s="238"/>
      <c r="B30" s="189" t="str">
        <v>High scenario</v>
      </c>
      <c r="C30" s="113"/>
      <c r="D30" s="113"/>
      <c r="E30" s="113"/>
      <c r="F30" s="113"/>
      <c r="G30" s="113"/>
      <c r="H30" s="113">
        <v>13.246775199999993</v>
      </c>
      <c r="I30" s="113">
        <v>14.451177510040162</v>
      </c>
      <c r="J30" s="113">
        <v>16.441369841269843</v>
      </c>
      <c r="K30" s="113">
        <v>14.783901599999995</v>
      </c>
      <c r="L30" s="113">
        <v>16.381369199999995</v>
      </c>
      <c r="M30" s="3">
        <f t="shared" ref="M30" si="5">M29*1.3</f>
        <v>23.981749999999998</v>
      </c>
      <c r="N30" s="3">
        <f t="shared" ref="N30" si="6">N29*1.3</f>
        <v>23.074999999999999</v>
      </c>
      <c r="O30" s="3">
        <f t="shared" ref="O30" si="7">O29*1.3</f>
        <v>22.490000000000002</v>
      </c>
      <c r="P30" s="3">
        <f t="shared" ref="P30" si="8">P29*1.3</f>
        <v>23.364243949395938</v>
      </c>
      <c r="Q30" s="3">
        <f t="shared" ref="Q30" si="9">Q29*1.3</f>
        <v>24.272472002084687</v>
      </c>
      <c r="R30" s="3">
        <f t="shared" ref="R30" si="10">R29*1.3</f>
        <v>25.216005207273874</v>
      </c>
      <c r="S30" s="3">
        <f t="shared" ref="S30" si="11">S29*1.3</f>
        <v>26.196215966740105</v>
      </c>
      <c r="T30" s="3">
        <f t="shared" ref="T30" si="12">T29*1.3</f>
        <v>27.214530031034979</v>
      </c>
      <c r="U30" s="3">
        <f t="shared" ref="U30" si="13">U29*1.3</f>
        <v>27.743479302161838</v>
      </c>
      <c r="V30" s="3">
        <f t="shared" ref="V30" si="14">V29*1.3</f>
        <v>28.282709380310042</v>
      </c>
      <c r="W30" s="3">
        <f t="shared" ref="W30" si="15">W29*1.3</f>
        <v>28.832420086140623</v>
      </c>
      <c r="X30" s="3">
        <f t="shared" ref="X30" si="16">X29*1.3</f>
        <v>29.392815124085271</v>
      </c>
      <c r="Y30" s="3">
        <f t="shared" ref="Y30" si="17">Y29*1.3</f>
        <v>29.964102157832375</v>
      </c>
      <c r="Z30" s="3">
        <f t="shared" ref="Z30" si="18">Z29*1.3</f>
        <v>29.964102157832375</v>
      </c>
      <c r="AA30" s="3">
        <f t="shared" ref="AA30" si="19">AA29*1.3</f>
        <v>29.964102157832375</v>
      </c>
    </row>
    <row r="31" spans="1:27" x14ac:dyDescent="0.25">
      <c r="A31" s="207"/>
      <c r="B31" s="83"/>
      <c r="C31" s="78"/>
      <c r="D31" s="78"/>
      <c r="E31" s="78"/>
      <c r="F31" s="78"/>
      <c r="G31" s="78"/>
      <c r="H31" s="78"/>
      <c r="I31" s="78"/>
      <c r="J31" s="78"/>
      <c r="K31" s="78"/>
      <c r="L31" s="78"/>
      <c r="M31" s="78"/>
      <c r="N31" s="78"/>
      <c r="O31" s="78"/>
      <c r="P31" s="78"/>
      <c r="Q31" s="78"/>
      <c r="R31" s="78"/>
      <c r="S31" s="78"/>
      <c r="T31" s="78"/>
      <c r="U31" s="78"/>
      <c r="V31" s="78"/>
      <c r="W31" s="78"/>
      <c r="X31" s="78"/>
      <c r="Y31" s="78"/>
      <c r="Z31" s="78"/>
      <c r="AA31" s="78"/>
    </row>
    <row r="32" spans="1:27" x14ac:dyDescent="0.25">
      <c r="A32" s="201"/>
      <c r="B32" s="191"/>
      <c r="C32" s="53"/>
      <c r="D32" s="53"/>
      <c r="E32" s="53"/>
      <c r="F32" s="53"/>
      <c r="G32" s="53"/>
      <c r="H32" s="53">
        <f t="shared" ref="H32:AA32" si="20">H27</f>
        <v>2018</v>
      </c>
      <c r="I32" s="53">
        <f t="shared" si="20"/>
        <v>2019</v>
      </c>
      <c r="J32" s="53">
        <f t="shared" si="20"/>
        <v>2020</v>
      </c>
      <c r="K32" s="53">
        <f t="shared" si="20"/>
        <v>2021</v>
      </c>
      <c r="L32" s="53">
        <f t="shared" si="20"/>
        <v>2022</v>
      </c>
      <c r="M32" s="53">
        <f t="shared" si="20"/>
        <v>2023</v>
      </c>
      <c r="N32" s="53">
        <f t="shared" si="20"/>
        <v>2024</v>
      </c>
      <c r="O32" s="53">
        <f t="shared" si="20"/>
        <v>2025</v>
      </c>
      <c r="P32" s="53">
        <f t="shared" si="20"/>
        <v>2026</v>
      </c>
      <c r="Q32" s="53">
        <f t="shared" si="20"/>
        <v>2027</v>
      </c>
      <c r="R32" s="53">
        <f t="shared" si="20"/>
        <v>2028</v>
      </c>
      <c r="S32" s="53">
        <f t="shared" si="20"/>
        <v>2029</v>
      </c>
      <c r="T32" s="53">
        <f t="shared" si="20"/>
        <v>2030</v>
      </c>
      <c r="U32" s="53">
        <f t="shared" si="20"/>
        <v>2031</v>
      </c>
      <c r="V32" s="53">
        <f t="shared" si="20"/>
        <v>2032</v>
      </c>
      <c r="W32" s="53">
        <f t="shared" si="20"/>
        <v>2033</v>
      </c>
      <c r="X32" s="53">
        <f t="shared" si="20"/>
        <v>2034</v>
      </c>
      <c r="Y32" s="53">
        <f t="shared" si="20"/>
        <v>2035</v>
      </c>
      <c r="Z32" s="53">
        <f t="shared" si="20"/>
        <v>2036</v>
      </c>
      <c r="AA32" s="53">
        <f t="shared" si="20"/>
        <v>2037</v>
      </c>
    </row>
    <row r="33" spans="1:27" x14ac:dyDescent="0.25">
      <c r="A33" s="239" t="s">
        <v>297</v>
      </c>
      <c r="B33" s="189" t="str" cm="1">
        <f t="array" ref="B33:B35">currency_scenario</f>
        <v>Low scenario</v>
      </c>
      <c r="C33" s="113"/>
      <c r="D33" s="113"/>
      <c r="E33" s="113"/>
      <c r="F33" s="113"/>
      <c r="G33" s="113"/>
      <c r="H33" s="113">
        <v>17.641773199999999</v>
      </c>
      <c r="I33" s="113">
        <v>18.430149397590366</v>
      </c>
      <c r="J33" s="113">
        <v>21.072238492063484</v>
      </c>
      <c r="K33" s="113">
        <v>20.328223200000007</v>
      </c>
      <c r="L33" s="113">
        <v>20.179558399999998</v>
      </c>
      <c r="M33" s="3">
        <f t="shared" ref="M33:AA33" si="21">M34/1.15</f>
        <v>19.934782608695656</v>
      </c>
      <c r="N33" s="3">
        <f t="shared" si="21"/>
        <v>19.332608695652176</v>
      </c>
      <c r="O33" s="3">
        <f t="shared" si="21"/>
        <v>19.406521739130437</v>
      </c>
      <c r="P33" s="3">
        <f t="shared" si="21"/>
        <v>20.069376948616384</v>
      </c>
      <c r="Q33" s="3">
        <f t="shared" si="21"/>
        <v>20.754872847384473</v>
      </c>
      <c r="R33" s="3">
        <f t="shared" si="21"/>
        <v>21.463782757879528</v>
      </c>
      <c r="S33" s="3">
        <f t="shared" si="21"/>
        <v>22.196906416389012</v>
      </c>
      <c r="T33" s="3">
        <f t="shared" si="21"/>
        <v>22.955070875242466</v>
      </c>
      <c r="U33" s="3">
        <f t="shared" si="21"/>
        <v>23.34710115553461</v>
      </c>
      <c r="V33" s="3">
        <f t="shared" si="21"/>
        <v>23.745826590091408</v>
      </c>
      <c r="W33" s="3">
        <f t="shared" si="21"/>
        <v>24.151361519801522</v>
      </c>
      <c r="X33" s="3">
        <f t="shared" si="21"/>
        <v>24.56382223828513</v>
      </c>
      <c r="Y33" s="3">
        <f t="shared" si="21"/>
        <v>24.983327025242996</v>
      </c>
      <c r="Z33" s="3">
        <f t="shared" si="21"/>
        <v>24.983327025242996</v>
      </c>
      <c r="AA33" s="3">
        <f t="shared" si="21"/>
        <v>24.983327025242996</v>
      </c>
    </row>
    <row r="34" spans="1:27" x14ac:dyDescent="0.25">
      <c r="A34" s="240"/>
      <c r="B34" s="189" t="str">
        <v>Base scenario</v>
      </c>
      <c r="C34" s="113"/>
      <c r="D34" s="113"/>
      <c r="E34" s="113"/>
      <c r="F34" s="113"/>
      <c r="G34" s="113"/>
      <c r="H34" s="113">
        <v>17.641773199999999</v>
      </c>
      <c r="I34" s="113">
        <v>18.430149397590366</v>
      </c>
      <c r="J34" s="113">
        <v>21.072238492063484</v>
      </c>
      <c r="K34" s="113">
        <v>20.328223200000007</v>
      </c>
      <c r="L34" s="113">
        <v>20.179558399999998</v>
      </c>
      <c r="M34" s="113">
        <f>B57</f>
        <v>22.925000000000001</v>
      </c>
      <c r="N34" s="113">
        <f>F57</f>
        <v>22.232500000000002</v>
      </c>
      <c r="O34" s="113">
        <f>J57</f>
        <v>22.317499999999999</v>
      </c>
      <c r="P34" s="113">
        <f>O34*(1+$C$45)</f>
        <v>23.079783490908842</v>
      </c>
      <c r="Q34" s="113">
        <f>P34*(1+$C$45)</f>
        <v>23.868103774492141</v>
      </c>
      <c r="R34" s="113">
        <f>Q34*(1+$C$45)</f>
        <v>24.683350171561454</v>
      </c>
      <c r="S34" s="113">
        <f>R34*(1+$C$45)</f>
        <v>25.526442378847364</v>
      </c>
      <c r="T34" s="113">
        <f>S34*(1+$C$45)</f>
        <v>26.398331506528834</v>
      </c>
      <c r="U34" s="113">
        <f>T34*(1+$C$46)</f>
        <v>26.849166328864797</v>
      </c>
      <c r="V34" s="113">
        <f>U34*(1+$C$46)</f>
        <v>27.307700578605118</v>
      </c>
      <c r="W34" s="113">
        <f>V34*(1+$C$46)</f>
        <v>27.774065747771751</v>
      </c>
      <c r="X34" s="113">
        <f>W34*(1+$C$46)</f>
        <v>28.248395574027899</v>
      </c>
      <c r="Y34" s="113">
        <f>X34*(1+$C$46)</f>
        <v>28.730826079029445</v>
      </c>
      <c r="Z34" s="113">
        <f t="shared" ref="Z34:AA34" si="22">Y34</f>
        <v>28.730826079029445</v>
      </c>
      <c r="AA34" s="113">
        <f t="shared" si="22"/>
        <v>28.730826079029445</v>
      </c>
    </row>
    <row r="35" spans="1:27" x14ac:dyDescent="0.25">
      <c r="A35" s="241"/>
      <c r="B35" s="189" t="str">
        <v>High scenario</v>
      </c>
      <c r="C35" s="113"/>
      <c r="D35" s="113"/>
      <c r="E35" s="113"/>
      <c r="F35" s="113"/>
      <c r="G35" s="113"/>
      <c r="H35" s="113">
        <v>17.641773199999999</v>
      </c>
      <c r="I35" s="113">
        <v>18.430149397590366</v>
      </c>
      <c r="J35" s="113">
        <v>21.072238492063484</v>
      </c>
      <c r="K35" s="113">
        <v>20.328223200000007</v>
      </c>
      <c r="L35" s="113">
        <v>20.179558399999998</v>
      </c>
      <c r="M35" s="3">
        <f t="shared" ref="M35" si="23">M34*1.3</f>
        <v>29.802500000000002</v>
      </c>
      <c r="N35" s="3">
        <f t="shared" ref="N35" si="24">N34*1.3</f>
        <v>28.902250000000002</v>
      </c>
      <c r="O35" s="3">
        <f t="shared" ref="O35" si="25">O34*1.3</f>
        <v>29.01275</v>
      </c>
      <c r="P35" s="3">
        <f t="shared" ref="P35" si="26">P34*1.3</f>
        <v>30.003718538181495</v>
      </c>
      <c r="Q35" s="3">
        <f t="shared" ref="Q35" si="27">Q34*1.3</f>
        <v>31.028534906839784</v>
      </c>
      <c r="R35" s="3">
        <f t="shared" ref="R35" si="28">R34*1.3</f>
        <v>32.088355223029893</v>
      </c>
      <c r="S35" s="3">
        <f t="shared" ref="S35" si="29">S34*1.3</f>
        <v>33.184375092501575</v>
      </c>
      <c r="T35" s="3">
        <f t="shared" ref="T35" si="30">T34*1.3</f>
        <v>34.317830958487484</v>
      </c>
      <c r="U35" s="3">
        <f t="shared" ref="U35" si="31">U34*1.3</f>
        <v>34.903916227524235</v>
      </c>
      <c r="V35" s="3">
        <f t="shared" ref="V35" si="32">V34*1.3</f>
        <v>35.500010752186654</v>
      </c>
      <c r="W35" s="3">
        <f t="shared" ref="W35" si="33">W34*1.3</f>
        <v>36.106285472103274</v>
      </c>
      <c r="X35" s="3">
        <f t="shared" ref="X35" si="34">X34*1.3</f>
        <v>36.722914246236272</v>
      </c>
      <c r="Y35" s="3">
        <f t="shared" ref="Y35" si="35">Y34*1.3</f>
        <v>37.350073902738281</v>
      </c>
      <c r="Z35" s="3">
        <f t="shared" ref="Z35" si="36">Z34*1.3</f>
        <v>37.350073902738281</v>
      </c>
      <c r="AA35" s="3">
        <f t="shared" ref="AA35" si="37">AA34*1.3</f>
        <v>37.350073902738281</v>
      </c>
    </row>
    <row r="36" spans="1:27" x14ac:dyDescent="0.25">
      <c r="A36" s="206"/>
      <c r="B36" s="189"/>
      <c r="C36" s="113"/>
      <c r="D36" s="113"/>
      <c r="E36" s="113"/>
      <c r="F36" s="113"/>
      <c r="G36" s="113"/>
      <c r="H36" s="113"/>
      <c r="I36" s="113"/>
      <c r="J36" s="113"/>
      <c r="K36" s="113"/>
      <c r="L36" s="113"/>
      <c r="M36" s="3"/>
      <c r="N36" s="3"/>
      <c r="O36" s="3"/>
      <c r="P36" s="3"/>
      <c r="Q36" s="3"/>
      <c r="R36" s="3"/>
      <c r="S36" s="3"/>
      <c r="T36" s="3"/>
      <c r="U36" s="3"/>
      <c r="V36" s="3"/>
      <c r="W36" s="3"/>
      <c r="X36" s="3"/>
      <c r="Y36" s="3"/>
      <c r="Z36" s="3"/>
      <c r="AA36" s="3"/>
    </row>
    <row r="37" spans="1:27" x14ac:dyDescent="0.25">
      <c r="A37" s="206"/>
      <c r="B37" s="189"/>
      <c r="C37" s="113"/>
      <c r="D37" s="113"/>
      <c r="E37" s="113"/>
      <c r="F37" s="113"/>
      <c r="G37" s="113"/>
      <c r="H37" s="113"/>
      <c r="I37" s="113"/>
      <c r="J37" s="113"/>
      <c r="K37" s="113"/>
      <c r="L37" s="113"/>
      <c r="M37" s="3"/>
      <c r="N37" s="3"/>
      <c r="O37" s="3"/>
      <c r="P37" s="3"/>
      <c r="Q37" s="3"/>
      <c r="R37" s="3"/>
      <c r="S37" s="3"/>
      <c r="T37" s="3"/>
      <c r="U37" s="3"/>
      <c r="V37" s="3"/>
      <c r="W37" s="3"/>
      <c r="X37" s="3"/>
      <c r="Y37" s="3"/>
      <c r="Z37" s="3"/>
      <c r="AA37" s="3"/>
    </row>
    <row r="38" spans="1:27" x14ac:dyDescent="0.25">
      <c r="A38" s="190"/>
      <c r="B38" s="191"/>
      <c r="C38" s="53"/>
      <c r="D38" s="53"/>
      <c r="E38" s="53"/>
      <c r="F38" s="53"/>
      <c r="G38" s="53"/>
      <c r="H38" s="53">
        <f t="shared" ref="H38:AA38" si="38">H27</f>
        <v>2018</v>
      </c>
      <c r="I38" s="53">
        <f t="shared" si="38"/>
        <v>2019</v>
      </c>
      <c r="J38" s="53">
        <f t="shared" si="38"/>
        <v>2020</v>
      </c>
      <c r="K38" s="53">
        <f t="shared" si="38"/>
        <v>2021</v>
      </c>
      <c r="L38" s="53">
        <f t="shared" si="38"/>
        <v>2022</v>
      </c>
      <c r="M38" s="53">
        <f t="shared" si="38"/>
        <v>2023</v>
      </c>
      <c r="N38" s="53">
        <f t="shared" si="38"/>
        <v>2024</v>
      </c>
      <c r="O38" s="53">
        <f t="shared" si="38"/>
        <v>2025</v>
      </c>
      <c r="P38" s="53">
        <f t="shared" si="38"/>
        <v>2026</v>
      </c>
      <c r="Q38" s="53">
        <f t="shared" si="38"/>
        <v>2027</v>
      </c>
      <c r="R38" s="53">
        <f t="shared" si="38"/>
        <v>2028</v>
      </c>
      <c r="S38" s="53">
        <f t="shared" si="38"/>
        <v>2029</v>
      </c>
      <c r="T38" s="53">
        <f t="shared" si="38"/>
        <v>2030</v>
      </c>
      <c r="U38" s="53">
        <f t="shared" si="38"/>
        <v>2031</v>
      </c>
      <c r="V38" s="53">
        <f t="shared" si="38"/>
        <v>2032</v>
      </c>
      <c r="W38" s="53">
        <f t="shared" si="38"/>
        <v>2033</v>
      </c>
      <c r="X38" s="53">
        <f t="shared" si="38"/>
        <v>2034</v>
      </c>
      <c r="Y38" s="53">
        <f t="shared" si="38"/>
        <v>2035</v>
      </c>
      <c r="Z38" s="53">
        <f t="shared" si="38"/>
        <v>2036</v>
      </c>
      <c r="AA38" s="53">
        <f t="shared" si="38"/>
        <v>2037</v>
      </c>
    </row>
    <row r="39" spans="1:27" x14ac:dyDescent="0.25">
      <c r="A39" s="239" t="s">
        <v>298</v>
      </c>
      <c r="B39" s="189" t="str" cm="1">
        <f t="array" ref="B39:B41">currency_scenario</f>
        <v>Low scenario</v>
      </c>
      <c r="C39" s="113"/>
      <c r="D39" s="113"/>
      <c r="E39" s="113"/>
      <c r="F39" s="113"/>
      <c r="G39" s="113"/>
      <c r="H39" s="113">
        <v>15.610738</v>
      </c>
      <c r="I39" s="113">
        <v>16.17564016064258</v>
      </c>
      <c r="J39" s="113">
        <v>18.757049999999992</v>
      </c>
      <c r="K39" s="113">
        <v>17.480877599999989</v>
      </c>
      <c r="L39" s="113">
        <v>17.2063676</v>
      </c>
      <c r="M39" s="3">
        <f t="shared" ref="M39:AA39" si="39">M40/1.15</f>
        <v>17.32826086956522</v>
      </c>
      <c r="N39" s="3">
        <f t="shared" si="39"/>
        <v>16.843478260869567</v>
      </c>
      <c r="O39" s="3">
        <f t="shared" si="39"/>
        <v>17.376086956521743</v>
      </c>
      <c r="P39" s="3">
        <f t="shared" si="39"/>
        <v>17.999897686873773</v>
      </c>
      <c r="Q39" s="3">
        <f t="shared" si="39"/>
        <v>18.646103553039527</v>
      </c>
      <c r="R39" s="3">
        <f t="shared" si="39"/>
        <v>19.315508552263218</v>
      </c>
      <c r="S39" s="3">
        <f t="shared" si="39"/>
        <v>20.008945545716209</v>
      </c>
      <c r="T39" s="3">
        <f t="shared" si="39"/>
        <v>20.727277294727312</v>
      </c>
      <c r="U39" s="3">
        <f t="shared" si="39"/>
        <v>21.099337414470781</v>
      </c>
      <c r="V39" s="3">
        <f t="shared" si="39"/>
        <v>21.478076111951943</v>
      </c>
      <c r="W39" s="3">
        <f t="shared" si="39"/>
        <v>21.863613269410873</v>
      </c>
      <c r="X39" s="3">
        <f t="shared" si="39"/>
        <v>22.256070921005627</v>
      </c>
      <c r="Y39" s="3">
        <f t="shared" si="39"/>
        <v>22.65557329143973</v>
      </c>
      <c r="Z39" s="3">
        <f t="shared" si="39"/>
        <v>22.65557329143973</v>
      </c>
      <c r="AA39" s="3">
        <f t="shared" si="39"/>
        <v>22.65557329143973</v>
      </c>
    </row>
    <row r="40" spans="1:27" x14ac:dyDescent="0.25">
      <c r="A40" s="240"/>
      <c r="B40" s="189" t="str">
        <v>Base scenario</v>
      </c>
      <c r="C40" s="113"/>
      <c r="D40" s="113"/>
      <c r="E40" s="113"/>
      <c r="F40" s="113"/>
      <c r="G40" s="113"/>
      <c r="H40" s="113">
        <v>15.610738</v>
      </c>
      <c r="I40" s="113">
        <v>16.17564016064258</v>
      </c>
      <c r="J40" s="113">
        <v>18.757049999999992</v>
      </c>
      <c r="K40" s="113">
        <v>17.480877599999989</v>
      </c>
      <c r="L40" s="113">
        <v>17.2063676</v>
      </c>
      <c r="M40" s="113">
        <f>B59</f>
        <v>19.927500000000002</v>
      </c>
      <c r="N40" s="113">
        <f>F59</f>
        <v>19.37</v>
      </c>
      <c r="O40" s="113">
        <f>J59</f>
        <v>19.982500000000002</v>
      </c>
      <c r="P40" s="113">
        <f>O40*(1+$C$47)</f>
        <v>20.699882339904839</v>
      </c>
      <c r="Q40" s="113">
        <f>P40*(1+$C$47)</f>
        <v>21.443019085995456</v>
      </c>
      <c r="R40" s="113">
        <f>Q40*(1+$C$47)</f>
        <v>22.212834835102697</v>
      </c>
      <c r="S40" s="113">
        <f>R40*(1+$C$47)</f>
        <v>23.01028737757364</v>
      </c>
      <c r="T40" s="113">
        <f>S40*(1+$C$47)</f>
        <v>23.836368888936406</v>
      </c>
      <c r="U40" s="113">
        <f>T40*(1+$C$48)</f>
        <v>24.264238026641397</v>
      </c>
      <c r="V40" s="113">
        <f>U40*(1+$C$48)</f>
        <v>24.699787528744732</v>
      </c>
      <c r="W40" s="113">
        <f>V40*(1+$C$48)</f>
        <v>25.143155259822503</v>
      </c>
      <c r="X40" s="113">
        <f>W40*(1+$C$48)</f>
        <v>25.59448155915647</v>
      </c>
      <c r="Y40" s="113">
        <f>X40*(1+$C$48)</f>
        <v>26.053909285155687</v>
      </c>
      <c r="Z40" s="113">
        <f t="shared" ref="Z40:AA40" si="40">Y40</f>
        <v>26.053909285155687</v>
      </c>
      <c r="AA40" s="113">
        <f t="shared" si="40"/>
        <v>26.053909285155687</v>
      </c>
    </row>
    <row r="41" spans="1:27" x14ac:dyDescent="0.25">
      <c r="A41" s="241"/>
      <c r="B41" s="189" t="str">
        <v>High scenario</v>
      </c>
      <c r="C41" s="113"/>
      <c r="D41" s="113"/>
      <c r="E41" s="113"/>
      <c r="F41" s="113"/>
      <c r="G41" s="113"/>
      <c r="H41" s="113">
        <v>15.610738</v>
      </c>
      <c r="I41" s="113">
        <v>16.17564016064258</v>
      </c>
      <c r="J41" s="113">
        <v>18.757049999999992</v>
      </c>
      <c r="K41" s="113">
        <v>17.480877599999989</v>
      </c>
      <c r="L41" s="113">
        <v>17.2063676</v>
      </c>
      <c r="M41" s="3">
        <f t="shared" ref="M41" si="41">M40*1.3</f>
        <v>25.905750000000005</v>
      </c>
      <c r="N41" s="3">
        <f t="shared" ref="N41" si="42">N40*1.3</f>
        <v>25.181000000000001</v>
      </c>
      <c r="O41" s="3">
        <f t="shared" ref="O41" si="43">O40*1.3</f>
        <v>25.977250000000002</v>
      </c>
      <c r="P41" s="3">
        <f t="shared" ref="P41" si="44">P40*1.3</f>
        <v>26.90984704187629</v>
      </c>
      <c r="Q41" s="3">
        <f t="shared" ref="Q41" si="45">Q40*1.3</f>
        <v>27.875924811794093</v>
      </c>
      <c r="R41" s="3">
        <f t="shared" ref="R41" si="46">R40*1.3</f>
        <v>28.876685285633506</v>
      </c>
      <c r="S41" s="3">
        <f t="shared" ref="S41" si="47">S40*1.3</f>
        <v>29.913373590845733</v>
      </c>
      <c r="T41" s="3">
        <f t="shared" ref="T41" si="48">T40*1.3</f>
        <v>30.987279555617327</v>
      </c>
      <c r="U41" s="3">
        <f t="shared" ref="U41" si="49">U40*1.3</f>
        <v>31.543509434633819</v>
      </c>
      <c r="V41" s="3">
        <f t="shared" ref="V41" si="50">V40*1.3</f>
        <v>32.109723787368154</v>
      </c>
      <c r="W41" s="3">
        <f t="shared" ref="W41" si="51">W40*1.3</f>
        <v>32.686101837769257</v>
      </c>
      <c r="X41" s="3">
        <f t="shared" ref="X41" si="52">X40*1.3</f>
        <v>33.27282602690341</v>
      </c>
      <c r="Y41" s="3">
        <f t="shared" ref="Y41" si="53">Y40*1.3</f>
        <v>33.870082070702395</v>
      </c>
      <c r="Z41" s="3">
        <f t="shared" ref="Z41" si="54">Z40*1.3</f>
        <v>33.870082070702395</v>
      </c>
      <c r="AA41" s="3">
        <f t="shared" ref="AA41" si="55">AA40*1.3</f>
        <v>33.870082070702395</v>
      </c>
    </row>
    <row r="42" spans="1:27" x14ac:dyDescent="0.25">
      <c r="A42" s="38"/>
      <c r="B42" s="83"/>
      <c r="C42" s="78"/>
      <c r="D42" s="78"/>
      <c r="E42" s="78"/>
      <c r="F42" s="78"/>
      <c r="G42" s="78"/>
      <c r="H42" s="78"/>
      <c r="I42" s="78"/>
      <c r="J42" s="78"/>
      <c r="K42" s="78"/>
      <c r="L42" s="78"/>
      <c r="M42" s="78"/>
      <c r="N42" s="78"/>
      <c r="O42" s="78"/>
      <c r="P42" s="78"/>
      <c r="Q42" s="78"/>
      <c r="R42" s="78"/>
      <c r="S42" s="78"/>
      <c r="T42" s="78"/>
      <c r="U42" s="78"/>
      <c r="V42" s="78"/>
      <c r="W42" s="78"/>
      <c r="X42" s="78"/>
      <c r="Y42" s="78"/>
      <c r="Z42" s="78"/>
      <c r="AA42" s="78"/>
    </row>
    <row r="43" spans="1:27" x14ac:dyDescent="0.25">
      <c r="A43" s="248" t="s">
        <v>299</v>
      </c>
      <c r="B43" s="105" t="s">
        <v>300</v>
      </c>
      <c r="C43" s="108">
        <f>((O29/H29)^(1/7)-1)</f>
        <v>3.8872563334634735E-2</v>
      </c>
      <c r="D43" s="78"/>
      <c r="E43" s="78"/>
      <c r="F43" s="78"/>
      <c r="G43" s="78"/>
      <c r="H43" s="78"/>
      <c r="I43" s="78"/>
      <c r="J43" s="78"/>
      <c r="K43" s="78"/>
      <c r="L43" s="78"/>
      <c r="M43" s="78"/>
      <c r="N43" s="78"/>
      <c r="O43" s="78"/>
      <c r="P43" s="78"/>
      <c r="Q43" s="78"/>
      <c r="R43" s="19"/>
    </row>
    <row r="44" spans="1:27" x14ac:dyDescent="0.25">
      <c r="A44" s="249"/>
      <c r="B44" s="106" t="s">
        <v>301</v>
      </c>
      <c r="C44" s="109">
        <f>C43/2</f>
        <v>1.9436281667317368E-2</v>
      </c>
      <c r="D44" s="78"/>
      <c r="E44" s="78"/>
      <c r="F44" s="78"/>
      <c r="G44" s="78"/>
      <c r="H44" s="78"/>
      <c r="I44" s="78"/>
      <c r="J44" s="78"/>
      <c r="K44" s="78"/>
      <c r="L44" s="78"/>
      <c r="M44" s="78"/>
      <c r="N44" s="78"/>
      <c r="O44" s="78"/>
      <c r="P44" s="78"/>
      <c r="Q44" s="78"/>
      <c r="R44" s="19"/>
    </row>
    <row r="45" spans="1:27" x14ac:dyDescent="0.25">
      <c r="A45" s="248" t="s">
        <v>302</v>
      </c>
      <c r="B45" s="105" t="s">
        <v>300</v>
      </c>
      <c r="C45" s="108">
        <f>((O34/H34)^(1/7)-1)</f>
        <v>3.4156311903611236E-2</v>
      </c>
      <c r="D45" s="78"/>
      <c r="E45" s="78"/>
      <c r="F45" s="78"/>
      <c r="G45" s="78"/>
      <c r="H45" s="78"/>
      <c r="I45" s="78"/>
      <c r="J45" s="78"/>
      <c r="K45" s="78"/>
      <c r="L45" s="78"/>
      <c r="M45" s="78"/>
      <c r="N45" s="78"/>
      <c r="O45" s="78"/>
      <c r="P45" s="78"/>
      <c r="Q45" s="78"/>
      <c r="R45" s="19"/>
    </row>
    <row r="46" spans="1:27" x14ac:dyDescent="0.25">
      <c r="A46" s="250"/>
      <c r="B46" s="83" t="s">
        <v>301</v>
      </c>
      <c r="C46" s="107">
        <f>C45/2</f>
        <v>1.7078155951805618E-2</v>
      </c>
      <c r="D46" s="78"/>
      <c r="E46" s="78"/>
      <c r="F46" s="78"/>
      <c r="G46" s="78"/>
      <c r="H46" s="78"/>
      <c r="I46" s="78"/>
      <c r="J46" s="78"/>
      <c r="K46" s="78"/>
      <c r="L46" s="78"/>
      <c r="M46" s="78"/>
      <c r="N46" s="78"/>
      <c r="O46" s="78"/>
      <c r="P46" s="78"/>
      <c r="Q46" s="78"/>
      <c r="R46" s="19"/>
    </row>
    <row r="47" spans="1:27" x14ac:dyDescent="0.25">
      <c r="A47" s="248" t="s">
        <v>303</v>
      </c>
      <c r="B47" s="105" t="s">
        <v>300</v>
      </c>
      <c r="C47" s="108">
        <f>((O40/H40)^(1/7)-1)</f>
        <v>3.5900529958955874E-2</v>
      </c>
      <c r="D47" s="78"/>
      <c r="E47" s="78"/>
      <c r="F47" s="78"/>
      <c r="G47" s="78"/>
      <c r="H47" s="78"/>
      <c r="I47" s="78"/>
      <c r="J47" s="78"/>
      <c r="K47" s="78"/>
      <c r="L47" s="78"/>
      <c r="M47" s="78"/>
      <c r="N47" s="78"/>
      <c r="O47" s="78"/>
      <c r="P47" s="78"/>
      <c r="Q47" s="78"/>
      <c r="R47" s="19"/>
    </row>
    <row r="48" spans="1:27" x14ac:dyDescent="0.25">
      <c r="A48" s="249"/>
      <c r="B48" s="106" t="s">
        <v>301</v>
      </c>
      <c r="C48" s="109">
        <f>C47/2</f>
        <v>1.7950264979477937E-2</v>
      </c>
      <c r="D48" s="78"/>
      <c r="E48" s="78"/>
      <c r="F48" s="78"/>
      <c r="G48" s="78"/>
      <c r="H48" s="78"/>
      <c r="I48" s="78"/>
      <c r="J48" s="78"/>
      <c r="K48" s="78"/>
      <c r="L48" s="78"/>
      <c r="M48" s="78"/>
      <c r="N48" s="78"/>
      <c r="O48" s="78"/>
      <c r="P48" s="78"/>
      <c r="Q48" s="78"/>
      <c r="R48" s="19"/>
    </row>
    <row r="49" spans="1:18" x14ac:dyDescent="0.25">
      <c r="A49" s="13" t="s">
        <v>304</v>
      </c>
      <c r="B49" s="83"/>
      <c r="C49" s="78"/>
      <c r="D49" s="78"/>
      <c r="E49" s="78"/>
      <c r="F49" s="78"/>
      <c r="G49" s="78"/>
      <c r="H49" s="78"/>
      <c r="I49" s="78"/>
      <c r="J49" s="78"/>
      <c r="K49" s="78"/>
      <c r="L49" s="78"/>
      <c r="M49" s="78"/>
      <c r="N49" s="78"/>
      <c r="O49" s="78"/>
      <c r="P49" s="78"/>
      <c r="Q49" s="78"/>
      <c r="R49" s="19"/>
    </row>
    <row r="50" spans="1:18" x14ac:dyDescent="0.25">
      <c r="B50" s="83"/>
      <c r="C50" s="78"/>
      <c r="D50" s="78"/>
      <c r="E50" s="78"/>
      <c r="F50" s="78"/>
      <c r="G50" s="78"/>
      <c r="H50" s="78"/>
      <c r="I50" s="78"/>
      <c r="J50" s="78"/>
      <c r="K50" s="78"/>
      <c r="L50" s="78"/>
      <c r="M50" s="78"/>
      <c r="N50" s="78"/>
      <c r="O50" s="78"/>
      <c r="P50" s="78"/>
      <c r="Q50" s="78"/>
      <c r="R50" s="19"/>
    </row>
    <row r="52" spans="1:18" ht="30" x14ac:dyDescent="0.25">
      <c r="A52" s="112" t="s">
        <v>305</v>
      </c>
      <c r="B52" s="245">
        <v>2023</v>
      </c>
      <c r="C52" s="246"/>
      <c r="D52" s="246"/>
      <c r="E52" s="247"/>
      <c r="F52" s="253">
        <v>2024</v>
      </c>
      <c r="G52" s="254"/>
      <c r="H52" s="254"/>
      <c r="I52" s="255"/>
      <c r="J52" s="257">
        <v>2025</v>
      </c>
      <c r="K52" s="258"/>
      <c r="L52" s="258"/>
      <c r="M52" s="259"/>
    </row>
    <row r="53" spans="1:18" x14ac:dyDescent="0.25">
      <c r="A53" s="38"/>
      <c r="B53" s="18" t="s">
        <v>306</v>
      </c>
      <c r="C53" s="18" t="s">
        <v>307</v>
      </c>
      <c r="D53" s="18" t="s">
        <v>308</v>
      </c>
      <c r="E53" s="18" t="s">
        <v>309</v>
      </c>
      <c r="F53" s="18" t="s">
        <v>306</v>
      </c>
      <c r="G53" s="18" t="s">
        <v>307</v>
      </c>
      <c r="H53" s="18" t="s">
        <v>308</v>
      </c>
      <c r="I53" s="18" t="s">
        <v>309</v>
      </c>
      <c r="J53" s="18" t="s">
        <v>306</v>
      </c>
      <c r="K53" s="18" t="s">
        <v>307</v>
      </c>
      <c r="L53" s="18" t="s">
        <v>308</v>
      </c>
      <c r="M53" s="18" t="s">
        <v>309</v>
      </c>
    </row>
    <row r="54" spans="1:18" ht="20.85" customHeight="1" x14ac:dyDescent="0.25">
      <c r="A54" s="34" t="s">
        <v>310</v>
      </c>
      <c r="B54" s="18">
        <v>17.760000000000002</v>
      </c>
      <c r="C54" s="18">
        <v>18.68</v>
      </c>
      <c r="D54" s="18">
        <v>18.649999999999999</v>
      </c>
      <c r="E54" s="18">
        <v>18.7</v>
      </c>
      <c r="F54" s="18">
        <v>17.8</v>
      </c>
      <c r="G54" s="18">
        <v>17.7</v>
      </c>
      <c r="H54" s="18">
        <v>17.899999999999999</v>
      </c>
      <c r="I54" s="18">
        <v>17.600000000000001</v>
      </c>
      <c r="J54" s="18">
        <v>17.3</v>
      </c>
      <c r="K54" s="18">
        <v>17.3</v>
      </c>
      <c r="L54" s="18">
        <v>17.399999999999999</v>
      </c>
      <c r="M54" s="18">
        <v>17.2</v>
      </c>
    </row>
    <row r="55" spans="1:18" x14ac:dyDescent="0.25">
      <c r="A55" s="45" t="s">
        <v>311</v>
      </c>
      <c r="B55" s="251">
        <f>AVERAGE(B54:E54)</f>
        <v>18.447499999999998</v>
      </c>
      <c r="C55" s="251"/>
      <c r="D55" s="251"/>
      <c r="E55" s="251"/>
      <c r="F55" s="252">
        <f>AVERAGE(F54:I54)</f>
        <v>17.75</v>
      </c>
      <c r="G55" s="252"/>
      <c r="H55" s="252"/>
      <c r="I55" s="252"/>
      <c r="J55" s="256">
        <f>AVERAGE(J54:M54)</f>
        <v>17.3</v>
      </c>
      <c r="K55" s="256"/>
      <c r="L55" s="256"/>
      <c r="M55" s="256"/>
    </row>
    <row r="56" spans="1:18" x14ac:dyDescent="0.25">
      <c r="A56" s="34" t="s">
        <v>312</v>
      </c>
      <c r="B56" s="18">
        <v>21.59</v>
      </c>
      <c r="C56" s="18">
        <v>23.4</v>
      </c>
      <c r="D56" s="18">
        <v>23.62</v>
      </c>
      <c r="E56" s="18">
        <v>23.09</v>
      </c>
      <c r="F56" s="18">
        <v>22.16</v>
      </c>
      <c r="G56" s="18">
        <v>22.13</v>
      </c>
      <c r="H56" s="18">
        <v>22.46</v>
      </c>
      <c r="I56" s="18">
        <v>22.18</v>
      </c>
      <c r="J56" s="18">
        <v>21.97</v>
      </c>
      <c r="K56" s="18">
        <v>22.32</v>
      </c>
      <c r="L56" s="18">
        <v>22.62</v>
      </c>
      <c r="M56" s="18">
        <v>22.36</v>
      </c>
    </row>
    <row r="57" spans="1:18" x14ac:dyDescent="0.25">
      <c r="A57" s="45" t="s">
        <v>311</v>
      </c>
      <c r="B57" s="251">
        <f>AVERAGE(B56:E56)</f>
        <v>22.925000000000001</v>
      </c>
      <c r="C57" s="251"/>
      <c r="D57" s="251"/>
      <c r="E57" s="251"/>
      <c r="F57" s="252">
        <f>AVERAGE(F56:I56)</f>
        <v>22.232500000000002</v>
      </c>
      <c r="G57" s="252"/>
      <c r="H57" s="252"/>
      <c r="I57" s="252"/>
      <c r="J57" s="256">
        <f>AVERAGE(J56:M56)</f>
        <v>22.317499999999999</v>
      </c>
      <c r="K57" s="256"/>
      <c r="L57" s="256"/>
      <c r="M57" s="256"/>
    </row>
    <row r="58" spans="1:18" x14ac:dyDescent="0.25">
      <c r="A58" s="34" t="s">
        <v>313</v>
      </c>
      <c r="B58" s="18">
        <v>19.059999999999999</v>
      </c>
      <c r="C58" s="18">
        <v>20.34</v>
      </c>
      <c r="D58" s="18">
        <v>20.3</v>
      </c>
      <c r="E58" s="18">
        <v>20.010000000000002</v>
      </c>
      <c r="F58" s="18">
        <v>19.14</v>
      </c>
      <c r="G58" s="18">
        <v>19.2</v>
      </c>
      <c r="H58" s="18">
        <v>19.600000000000001</v>
      </c>
      <c r="I58" s="18">
        <v>19.54</v>
      </c>
      <c r="J58" s="18">
        <v>19.55</v>
      </c>
      <c r="K58" s="18">
        <v>19.899999999999999</v>
      </c>
      <c r="L58" s="18">
        <v>20.36</v>
      </c>
      <c r="M58" s="18">
        <v>20.12</v>
      </c>
    </row>
    <row r="59" spans="1:18" x14ac:dyDescent="0.25">
      <c r="A59" s="45" t="s">
        <v>311</v>
      </c>
      <c r="B59" s="251">
        <f>AVERAGE(B58:E58)</f>
        <v>19.927500000000002</v>
      </c>
      <c r="C59" s="251"/>
      <c r="D59" s="251"/>
      <c r="E59" s="251"/>
      <c r="F59" s="252">
        <f t="shared" ref="F59" si="56">AVERAGE(F58:I58)</f>
        <v>19.37</v>
      </c>
      <c r="G59" s="252"/>
      <c r="H59" s="252"/>
      <c r="I59" s="252"/>
      <c r="J59" s="256">
        <f t="shared" ref="J59" si="57">AVERAGE(J58:M58)</f>
        <v>19.982500000000002</v>
      </c>
      <c r="K59" s="256"/>
      <c r="L59" s="256"/>
      <c r="M59" s="256"/>
    </row>
    <row r="61" spans="1:18" x14ac:dyDescent="0.25">
      <c r="A61" s="22" t="s">
        <v>47</v>
      </c>
    </row>
    <row r="62" spans="1:18" ht="30" x14ac:dyDescent="0.25">
      <c r="A62" s="96" t="s">
        <v>314</v>
      </c>
      <c r="B62" s="97" t="s">
        <v>315</v>
      </c>
      <c r="C62" s="98"/>
      <c r="D62" s="98"/>
      <c r="E62" s="98"/>
      <c r="F62" s="98"/>
      <c r="G62" s="98"/>
      <c r="H62" s="98"/>
      <c r="I62" s="98"/>
      <c r="J62" s="99"/>
    </row>
    <row r="63" spans="1:18" ht="48.6" customHeight="1" x14ac:dyDescent="0.25">
      <c r="A63" s="100" t="s">
        <v>316</v>
      </c>
      <c r="B63" s="243" t="s">
        <v>361</v>
      </c>
      <c r="C63" s="243"/>
      <c r="D63" s="243"/>
      <c r="E63" s="243"/>
      <c r="F63" s="243"/>
      <c r="G63" s="243"/>
      <c r="H63" s="101"/>
      <c r="I63" s="102"/>
      <c r="J63" s="103"/>
    </row>
    <row r="64" spans="1:18" x14ac:dyDescent="0.25">
      <c r="A64" s="38" t="s">
        <v>317</v>
      </c>
      <c r="J64" s="39"/>
    </row>
    <row r="65" spans="1:10" x14ac:dyDescent="0.25">
      <c r="A65" s="45" t="s">
        <v>318</v>
      </c>
      <c r="B65" s="46"/>
      <c r="C65" s="46"/>
      <c r="D65" s="46"/>
      <c r="E65" s="46"/>
      <c r="F65" s="46"/>
      <c r="G65" s="46"/>
      <c r="H65" s="46"/>
      <c r="I65" s="46"/>
      <c r="J65" s="47"/>
    </row>
  </sheetData>
  <mergeCells count="20">
    <mergeCell ref="B63:G63"/>
    <mergeCell ref="B57:E57"/>
    <mergeCell ref="F57:I57"/>
    <mergeCell ref="F52:I52"/>
    <mergeCell ref="J57:M57"/>
    <mergeCell ref="B59:E59"/>
    <mergeCell ref="F59:I59"/>
    <mergeCell ref="J59:M59"/>
    <mergeCell ref="J52:M52"/>
    <mergeCell ref="B55:E55"/>
    <mergeCell ref="F55:I55"/>
    <mergeCell ref="J55:M55"/>
    <mergeCell ref="A28:A30"/>
    <mergeCell ref="A33:A35"/>
    <mergeCell ref="A39:A41"/>
    <mergeCell ref="B22:D24"/>
    <mergeCell ref="B52:E52"/>
    <mergeCell ref="A43:A44"/>
    <mergeCell ref="A45:A46"/>
    <mergeCell ref="A47:A48"/>
  </mergeCells>
  <phoneticPr fontId="1" type="noConversion"/>
  <hyperlinks>
    <hyperlink ref="B22" xr:uid="{F1066932-BEAB-4D5A-8E46-47658568D309}"/>
    <hyperlink ref="B7" xr:uid="{BDA54D83-3F62-4454-92A2-D05E016EA9AB}"/>
    <hyperlink ref="B62" xr:uid="{663B6C7A-33EF-46B9-BE67-4F9548BC4743}"/>
    <hyperlink ref="B63" xr:uid="{2E21C99D-674A-435D-9942-1D787121004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35DC-F826-4A85-A335-D8C0CA32E1D2}">
  <dimension ref="A1:AK14"/>
  <sheetViews>
    <sheetView workbookViewId="0">
      <selection sqref="A1:XFD1"/>
    </sheetView>
  </sheetViews>
  <sheetFormatPr defaultColWidth="8.5703125" defaultRowHeight="15" x14ac:dyDescent="0.25"/>
  <cols>
    <col min="1" max="1" width="60.7109375" style="13" customWidth="1"/>
    <col min="2" max="16384" width="8.5703125" style="13"/>
  </cols>
  <sheetData>
    <row r="1" spans="1:37" ht="18.75" x14ac:dyDescent="0.3">
      <c r="A1" s="51" t="s">
        <v>319</v>
      </c>
      <c r="B1" s="50"/>
      <c r="C1" s="50"/>
    </row>
    <row r="3" spans="1:37" x14ac:dyDescent="0.25">
      <c r="A3" s="95" t="s">
        <v>320</v>
      </c>
    </row>
    <row r="4" spans="1:37" x14ac:dyDescent="0.25">
      <c r="A4" s="18" t="s">
        <v>321</v>
      </c>
    </row>
    <row r="5" spans="1:37" x14ac:dyDescent="0.25">
      <c r="A5" s="18" t="s">
        <v>13</v>
      </c>
    </row>
    <row r="6" spans="1:37" x14ac:dyDescent="0.25">
      <c r="A6" s="18" t="s">
        <v>322</v>
      </c>
    </row>
    <row r="8" spans="1:37" x14ac:dyDescent="0.25">
      <c r="A8" s="95" t="s">
        <v>323</v>
      </c>
      <c r="B8" s="48" cm="1">
        <f t="array" ref="B8:U8">years</f>
        <v>2018</v>
      </c>
      <c r="C8" s="48">
        <v>2019</v>
      </c>
      <c r="D8" s="48">
        <v>2020</v>
      </c>
      <c r="E8" s="48">
        <v>2021</v>
      </c>
      <c r="F8" s="48">
        <v>2022</v>
      </c>
      <c r="G8" s="48">
        <v>2023</v>
      </c>
      <c r="H8" s="48">
        <v>2024</v>
      </c>
      <c r="I8" s="48">
        <v>2025</v>
      </c>
      <c r="J8" s="48">
        <v>2026</v>
      </c>
      <c r="K8" s="48">
        <v>2027</v>
      </c>
      <c r="L8" s="48">
        <v>2028</v>
      </c>
      <c r="M8" s="48">
        <v>2029</v>
      </c>
      <c r="N8" s="48">
        <v>2030</v>
      </c>
      <c r="O8" s="48">
        <v>2031</v>
      </c>
      <c r="P8" s="48">
        <v>2032</v>
      </c>
      <c r="Q8" s="48">
        <v>2033</v>
      </c>
      <c r="R8" s="48">
        <v>2034</v>
      </c>
      <c r="S8" s="48">
        <v>2035</v>
      </c>
      <c r="T8" s="48">
        <v>2036</v>
      </c>
      <c r="U8" s="48">
        <v>2037</v>
      </c>
      <c r="V8" s="22"/>
      <c r="W8" s="22"/>
      <c r="X8" s="22"/>
      <c r="Y8" s="22"/>
      <c r="Z8" s="22"/>
      <c r="AA8" s="22"/>
      <c r="AB8" s="22"/>
      <c r="AC8" s="22"/>
      <c r="AD8" s="22"/>
      <c r="AE8" s="22"/>
      <c r="AF8" s="22"/>
      <c r="AG8" s="22"/>
      <c r="AH8" s="22"/>
      <c r="AI8" s="22"/>
      <c r="AJ8" s="22"/>
      <c r="AK8" s="22"/>
    </row>
    <row r="11" spans="1:37" x14ac:dyDescent="0.25">
      <c r="A11" s="187" t="s">
        <v>328</v>
      </c>
    </row>
    <row r="12" spans="1:37" x14ac:dyDescent="0.25">
      <c r="A12" s="188" t="s">
        <v>327</v>
      </c>
    </row>
    <row r="13" spans="1:37" x14ac:dyDescent="0.25">
      <c r="A13" s="188" t="s">
        <v>329</v>
      </c>
    </row>
    <row r="14" spans="1:37" x14ac:dyDescent="0.25">
      <c r="A14" s="188" t="s">
        <v>330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CE6C6-5D5A-446A-A8D5-2A716574E68F}">
  <sheetPr>
    <tabColor theme="3" tint="0.79998168889431442"/>
  </sheetPr>
  <dimension ref="B2"/>
  <sheetViews>
    <sheetView workbookViewId="0">
      <selection activeCell="B2" sqref="B2"/>
    </sheetView>
  </sheetViews>
  <sheetFormatPr defaultColWidth="8.5703125" defaultRowHeight="15" x14ac:dyDescent="0.25"/>
  <cols>
    <col min="1" max="16384" width="8.5703125" style="13"/>
  </cols>
  <sheetData>
    <row r="2" spans="2:2" x14ac:dyDescent="0.25">
      <c r="B2" s="13" t="s">
        <v>180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AF15-D4BD-441F-B10C-B7888ACE4A2B}">
  <dimension ref="A1:S39"/>
  <sheetViews>
    <sheetView workbookViewId="0">
      <selection sqref="A1:XFD1"/>
    </sheetView>
  </sheetViews>
  <sheetFormatPr defaultColWidth="15.7109375" defaultRowHeight="15" x14ac:dyDescent="0.25"/>
  <cols>
    <col min="1" max="1" width="45.7109375" style="19" customWidth="1"/>
    <col min="2" max="16384" width="15.7109375" style="19"/>
  </cols>
  <sheetData>
    <row r="1" spans="1:19" ht="18.75" x14ac:dyDescent="0.3">
      <c r="A1" s="90" t="s">
        <v>324</v>
      </c>
      <c r="B1" s="94"/>
      <c r="C1" s="93"/>
      <c r="D1" s="93"/>
      <c r="E1" s="93"/>
      <c r="F1" s="93"/>
      <c r="G1" s="93"/>
      <c r="H1" s="93"/>
      <c r="I1" s="93"/>
      <c r="J1" s="93"/>
      <c r="K1" s="93"/>
      <c r="L1" s="93"/>
      <c r="M1" s="93"/>
      <c r="N1" s="93"/>
      <c r="O1" s="93"/>
      <c r="P1" s="93"/>
      <c r="Q1" s="93"/>
      <c r="R1" s="93"/>
      <c r="S1" s="93"/>
    </row>
    <row r="3" spans="1:19" x14ac:dyDescent="0.25">
      <c r="A3" s="19" t="s">
        <v>325</v>
      </c>
      <c r="F3" s="93"/>
      <c r="G3" s="93"/>
      <c r="H3" s="93"/>
      <c r="I3" s="93"/>
      <c r="J3" s="93"/>
      <c r="K3" s="93"/>
      <c r="L3" s="93"/>
      <c r="M3" s="93"/>
    </row>
    <row r="5" spans="1:19" x14ac:dyDescent="0.25">
      <c r="P5" s="116"/>
      <c r="Q5" s="116"/>
    </row>
    <row r="6" spans="1:19" x14ac:dyDescent="0.25">
      <c r="P6" s="116"/>
      <c r="Q6" s="116"/>
    </row>
    <row r="7" spans="1:19" x14ac:dyDescent="0.25">
      <c r="P7" s="116"/>
      <c r="Q7" s="116"/>
    </row>
    <row r="8" spans="1:19" x14ac:dyDescent="0.25">
      <c r="P8" s="116"/>
      <c r="Q8" s="116"/>
    </row>
    <row r="9" spans="1:19" x14ac:dyDescent="0.25">
      <c r="P9" s="116"/>
      <c r="Q9" s="116"/>
    </row>
    <row r="10" spans="1:19" x14ac:dyDescent="0.25">
      <c r="P10" s="116"/>
      <c r="Q10" s="116"/>
    </row>
    <row r="11" spans="1:19" x14ac:dyDescent="0.25">
      <c r="P11" s="116"/>
      <c r="Q11" s="116"/>
    </row>
    <row r="12" spans="1:19" x14ac:dyDescent="0.25">
      <c r="P12" s="116"/>
      <c r="Q12" s="116"/>
    </row>
    <row r="13" spans="1:19" x14ac:dyDescent="0.25">
      <c r="P13" s="116"/>
      <c r="Q13" s="116"/>
    </row>
    <row r="14" spans="1:19" x14ac:dyDescent="0.25">
      <c r="P14" s="116"/>
      <c r="Q14" s="116"/>
    </row>
    <row r="15" spans="1:19" x14ac:dyDescent="0.25">
      <c r="P15" s="116"/>
      <c r="Q15" s="116"/>
    </row>
    <row r="16" spans="1:19" x14ac:dyDescent="0.25">
      <c r="P16" s="116"/>
      <c r="Q16" s="116"/>
    </row>
    <row r="17" spans="1:17" x14ac:dyDescent="0.25">
      <c r="P17" s="116"/>
      <c r="Q17" s="116"/>
    </row>
    <row r="18" spans="1:17" x14ac:dyDescent="0.25">
      <c r="P18" s="116"/>
      <c r="Q18" s="116"/>
    </row>
    <row r="19" spans="1:17" x14ac:dyDescent="0.25">
      <c r="P19" s="116"/>
      <c r="Q19" s="116"/>
    </row>
    <row r="20" spans="1:17" x14ac:dyDescent="0.25">
      <c r="P20" s="116"/>
      <c r="Q20" s="116"/>
    </row>
    <row r="21" spans="1:17" x14ac:dyDescent="0.25">
      <c r="P21" s="116"/>
      <c r="Q21" s="116"/>
    </row>
    <row r="22" spans="1:17" x14ac:dyDescent="0.25">
      <c r="P22" s="116"/>
      <c r="Q22" s="116"/>
    </row>
    <row r="23" spans="1:17" x14ac:dyDescent="0.25">
      <c r="P23" s="116"/>
      <c r="Q23" s="116"/>
    </row>
    <row r="24" spans="1:17" x14ac:dyDescent="0.25">
      <c r="P24" s="116"/>
      <c r="Q24" s="116"/>
    </row>
    <row r="25" spans="1:17" x14ac:dyDescent="0.25">
      <c r="P25" s="116"/>
      <c r="Q25" s="116"/>
    </row>
    <row r="26" spans="1:17" x14ac:dyDescent="0.25">
      <c r="P26" s="116"/>
      <c r="Q26" s="116"/>
    </row>
    <row r="27" spans="1:17" x14ac:dyDescent="0.25">
      <c r="P27" s="116"/>
      <c r="Q27" s="116"/>
    </row>
    <row r="30" spans="1:17" x14ac:dyDescent="0.25">
      <c r="A30" s="117"/>
      <c r="B30" s="118"/>
      <c r="C30" s="118"/>
      <c r="D30" s="118"/>
      <c r="E30" s="118"/>
    </row>
    <row r="31" spans="1:17" x14ac:dyDescent="0.25">
      <c r="A31" s="117"/>
      <c r="B31" s="119"/>
      <c r="C31" s="119"/>
      <c r="D31" s="119"/>
      <c r="E31" s="120"/>
    </row>
    <row r="32" spans="1:17" x14ac:dyDescent="0.25">
      <c r="A32" s="117"/>
      <c r="B32" s="119"/>
      <c r="C32" s="119"/>
      <c r="D32" s="120"/>
      <c r="E32" s="120"/>
    </row>
    <row r="33" spans="1:5" x14ac:dyDescent="0.25">
      <c r="A33" s="117"/>
      <c r="B33" s="119"/>
      <c r="C33" s="119"/>
      <c r="D33" s="119"/>
      <c r="E33" s="120"/>
    </row>
    <row r="35" spans="1:5" x14ac:dyDescent="0.25">
      <c r="A35" s="117"/>
      <c r="B35" s="67"/>
      <c r="C35" s="67"/>
      <c r="D35" s="67"/>
      <c r="E35" s="121"/>
    </row>
    <row r="36" spans="1:5" x14ac:dyDescent="0.25">
      <c r="A36" s="117"/>
      <c r="B36" s="122"/>
      <c r="D36" s="123"/>
      <c r="E36" s="124"/>
    </row>
    <row r="37" spans="1:5" x14ac:dyDescent="0.25">
      <c r="A37" s="117"/>
      <c r="B37" s="122"/>
      <c r="D37" s="123"/>
      <c r="E37" s="124"/>
    </row>
    <row r="38" spans="1:5" x14ac:dyDescent="0.25">
      <c r="A38" s="117"/>
      <c r="B38" s="122"/>
      <c r="D38" s="123"/>
      <c r="E38" s="124"/>
    </row>
    <row r="39" spans="1:5" x14ac:dyDescent="0.25">
      <c r="A39" s="117"/>
      <c r="E39" s="1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f41275d-bc04-4c78-833e-8c65094cedc0">
      <Terms xmlns="http://schemas.microsoft.com/office/infopath/2007/PartnerControls"/>
    </lcf76f155ced4ddcb4097134ff3c332f>
    <TaxCatchAll xmlns="273ff822-d9a1-415a-8e5f-f24c0634255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7E4670575D9E43A0D0956D52CCF417" ma:contentTypeVersion="11" ma:contentTypeDescription="Create a new document." ma:contentTypeScope="" ma:versionID="4ffa36f907b4ed06d1d9fe51fb5d7981">
  <xsd:schema xmlns:xsd="http://www.w3.org/2001/XMLSchema" xmlns:xs="http://www.w3.org/2001/XMLSchema" xmlns:p="http://schemas.microsoft.com/office/2006/metadata/properties" xmlns:ns2="cf41275d-bc04-4c78-833e-8c65094cedc0" xmlns:ns3="273ff822-d9a1-415a-8e5f-f24c06342558" targetNamespace="http://schemas.microsoft.com/office/2006/metadata/properties" ma:root="true" ma:fieldsID="f80790b22159abf787bc7b3bb21c34c6" ns2:_="" ns3:_="">
    <xsd:import namespace="cf41275d-bc04-4c78-833e-8c65094cedc0"/>
    <xsd:import namespace="273ff822-d9a1-415a-8e5f-f24c0634255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41275d-bc04-4c78-833e-8c65094ced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991b503-1ffc-4999-8cb9-4dbaf7daa74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ff822-d9a1-415a-8e5f-f24c0634255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5fd7001-2bb6-4d82-8ba0-4fb415e24511}" ma:internalName="TaxCatchAll" ma:showField="CatchAllData" ma:web="273ff822-d9a1-415a-8e5f-f24c0634255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9409F9-AED0-4342-B9DD-E491DD25AAA7}">
  <ds:schemaRefs>
    <ds:schemaRef ds:uri="http://schemas.microsoft.com/office/2006/metadata/properties"/>
    <ds:schemaRef ds:uri="http://schemas.microsoft.com/office/infopath/2007/PartnerControls"/>
    <ds:schemaRef ds:uri="cf41275d-bc04-4c78-833e-8c65094cedc0"/>
    <ds:schemaRef ds:uri="273ff822-d9a1-415a-8e5f-f24c06342558"/>
  </ds:schemaRefs>
</ds:datastoreItem>
</file>

<file path=customXml/itemProps2.xml><?xml version="1.0" encoding="utf-8"?>
<ds:datastoreItem xmlns:ds="http://schemas.openxmlformats.org/officeDocument/2006/customXml" ds:itemID="{8ED10714-072B-446D-8720-B923576B2C49}">
  <ds:schemaRefs>
    <ds:schemaRef ds:uri="http://schemas.microsoft.com/sharepoint/v3/contenttype/forms"/>
  </ds:schemaRefs>
</ds:datastoreItem>
</file>

<file path=customXml/itemProps3.xml><?xml version="1.0" encoding="utf-8"?>
<ds:datastoreItem xmlns:ds="http://schemas.openxmlformats.org/officeDocument/2006/customXml" ds:itemID="{47026609-5A7D-428B-BA1F-60E6284BD9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41275d-bc04-4c78-833e-8c65094cedc0"/>
    <ds:schemaRef ds:uri="273ff822-d9a1-415a-8e5f-f24c063425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90</vt:i4>
      </vt:variant>
    </vt:vector>
  </HeadingPairs>
  <TitlesOfParts>
    <vt:vector size="113" baseType="lpstr">
      <vt:lpstr>Summary</vt:lpstr>
      <vt:lpstr>BU-LRIC plan</vt:lpstr>
      <vt:lpstr>1 Volumes</vt:lpstr>
      <vt:lpstr>2 Dimensioning</vt:lpstr>
      <vt:lpstr>3 Network demand</vt:lpstr>
      <vt:lpstr>4 Cost - capital</vt:lpstr>
      <vt:lpstr>5 Cost - opex</vt:lpstr>
      <vt:lpstr>6 - Termination</vt:lpstr>
      <vt:lpstr>Core network details &gt;&gt;&gt;&gt;</vt:lpstr>
      <vt:lpstr>Core costs</vt:lpstr>
      <vt:lpstr>Calibration&gt;&gt;&gt;&gt;</vt:lpstr>
      <vt:lpstr>Assets - HCA</vt:lpstr>
      <vt:lpstr>Revenues, costs</vt:lpstr>
      <vt:lpstr>Volumes details &gt;&gt;&gt;&gt;</vt:lpstr>
      <vt:lpstr>Volume projections</vt:lpstr>
      <vt:lpstr>State of ICT sector</vt:lpstr>
      <vt:lpstr>ITU</vt:lpstr>
      <vt:lpstr>Additional inputs &gt;&gt;&gt;&gt;</vt:lpstr>
      <vt:lpstr>Financial Inputs</vt:lpstr>
      <vt:lpstr>Macroeconomic data</vt:lpstr>
      <vt:lpstr>Lists</vt:lpstr>
      <vt:lpstr>Operator data &gt;&gt;&gt;&gt;&gt;&gt;</vt:lpstr>
      <vt:lpstr>Operator - Confidential</vt:lpstr>
      <vt:lpstr>access_sbc_hardware</vt:lpstr>
      <vt:lpstr>access_sbc_software</vt:lpstr>
      <vt:lpstr>as_hardware</vt:lpstr>
      <vt:lpstr>as_software</vt:lpstr>
      <vt:lpstr>busy_hour_call_attempts</vt:lpstr>
      <vt:lpstr>busy_hour_call_attempts_noincoming</vt:lpstr>
      <vt:lpstr>busy_hour_perc</vt:lpstr>
      <vt:lpstr>capex_price_index</vt:lpstr>
      <vt:lpstr>capex_price_trend</vt:lpstr>
      <vt:lpstr>capex_revenues</vt:lpstr>
      <vt:lpstr>capex_tariff</vt:lpstr>
      <vt:lpstr>cdf_hardware</vt:lpstr>
      <vt:lpstr>cdf_software</vt:lpstr>
      <vt:lpstr>core_costs_capex</vt:lpstr>
      <vt:lpstr>core_costs_capex_discounted</vt:lpstr>
      <vt:lpstr>core_costs_capex_discounted_pv</vt:lpstr>
      <vt:lpstr>core_costs_incoming_only_discounted_pv</vt:lpstr>
      <vt:lpstr>core_costs_incomingonly</vt:lpstr>
      <vt:lpstr>core_costs_noincoming</vt:lpstr>
      <vt:lpstr>core_costs_opex</vt:lpstr>
      <vt:lpstr>core_costs_opex_discounted</vt:lpstr>
      <vt:lpstr>core_costs_opex_discounted_pv</vt:lpstr>
      <vt:lpstr>core_costs_opex_incoming_only</vt:lpstr>
      <vt:lpstr>core_costs_opex_incomingonly_discounted_pv</vt:lpstr>
      <vt:lpstr>core_costs_opex_noincoming</vt:lpstr>
      <vt:lpstr>core_elements</vt:lpstr>
      <vt:lpstr>core_increm_capex</vt:lpstr>
      <vt:lpstr>core_increm_incoming_only_capex</vt:lpstr>
      <vt:lpstr>core_increm_noincoming_capex</vt:lpstr>
      <vt:lpstr>core_number_incoming_only_opex</vt:lpstr>
      <vt:lpstr>core_number_noincoming_voice_opex</vt:lpstr>
      <vt:lpstr>core_number_opex</vt:lpstr>
      <vt:lpstr>core_unit_opex</vt:lpstr>
      <vt:lpstr>currency_scenario</vt:lpstr>
      <vt:lpstr>debt_perc</vt:lpstr>
      <vt:lpstr>Depreciation_straightline</vt:lpstr>
      <vt:lpstr>fixed_calls_per_hour</vt:lpstr>
      <vt:lpstr>fixed_calls_per_hour_noincoming</vt:lpstr>
      <vt:lpstr>fixed_calls_per_hour_onnet_factor</vt:lpstr>
      <vt:lpstr>fixed_calls_per_hour_onnet_factor_noincoming</vt:lpstr>
      <vt:lpstr>fixed_calls_persecond</vt:lpstr>
      <vt:lpstr>fixed_calls_persecond_noincoming</vt:lpstr>
      <vt:lpstr>fixed_calls_persecond_onnet_factor</vt:lpstr>
      <vt:lpstr>fixed_calls_persecond_onnet_factor_noincoming</vt:lpstr>
      <vt:lpstr>fixed_calls_service</vt:lpstr>
      <vt:lpstr>fixed_calls_service_onnet_factor</vt:lpstr>
      <vt:lpstr>fixed_minutes</vt:lpstr>
      <vt:lpstr>fixed_minutes_busy_hour</vt:lpstr>
      <vt:lpstr>fixed_minutes_busy_hour_onnet_factor</vt:lpstr>
      <vt:lpstr>fixed_minutes_incoming</vt:lpstr>
      <vt:lpstr>fixed_services</vt:lpstr>
      <vt:lpstr>growth_scenarios</vt:lpstr>
      <vt:lpstr>idle_time</vt:lpstr>
      <vt:lpstr>inflation</vt:lpstr>
      <vt:lpstr>inflation_index</vt:lpstr>
      <vt:lpstr>interr_cscf_hardware</vt:lpstr>
      <vt:lpstr>interr_cscf_software</vt:lpstr>
      <vt:lpstr>ix_sbc_hardware</vt:lpstr>
      <vt:lpstr>ix_sbc_software</vt:lpstr>
      <vt:lpstr>lric_revenues</vt:lpstr>
      <vt:lpstr>max_load</vt:lpstr>
      <vt:lpstr>mins_call</vt:lpstr>
      <vt:lpstr>mins_hour</vt:lpstr>
      <vt:lpstr>mrf_hardware</vt:lpstr>
      <vt:lpstr>mrf_software</vt:lpstr>
      <vt:lpstr>onnet_factor</vt:lpstr>
      <vt:lpstr>opex_price_index</vt:lpstr>
      <vt:lpstr>opex_revenues</vt:lpstr>
      <vt:lpstr>opex_tariff</vt:lpstr>
      <vt:lpstr>proxy_cscf_hardware</vt:lpstr>
      <vt:lpstr>proxy_cscf_software</vt:lpstr>
      <vt:lpstr>pure_lric</vt:lpstr>
      <vt:lpstr>pv_capex_volumes</vt:lpstr>
      <vt:lpstr>pv_opex_volumes</vt:lpstr>
      <vt:lpstr>redundancy</vt:lpstr>
      <vt:lpstr>sec_minute</vt:lpstr>
      <vt:lpstr>serve_cscf_hardware</vt:lpstr>
      <vt:lpstr>serve_cscf_software</vt:lpstr>
      <vt:lpstr>share_operator</vt:lpstr>
      <vt:lpstr>time_index</vt:lpstr>
      <vt:lpstr>total_costs_core_capex</vt:lpstr>
      <vt:lpstr>total_costs_core_opex</vt:lpstr>
      <vt:lpstr>unit_costs_core_capex</vt:lpstr>
      <vt:lpstr>unit_costs_core_opex</vt:lpstr>
      <vt:lpstr>unsuccessful_calls_perc</vt:lpstr>
      <vt:lpstr>volume_ed_capex</vt:lpstr>
      <vt:lpstr>volume_ed_opex</vt:lpstr>
      <vt:lpstr>wacc_index</vt:lpstr>
      <vt:lpstr>wacc_nom_pretax</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Hawthorne</dc:creator>
  <cp:keywords/>
  <dc:description/>
  <cp:lastModifiedBy>Ryan Hawthorne</cp:lastModifiedBy>
  <cp:revision/>
  <dcterms:created xsi:type="dcterms:W3CDTF">2022-04-26T08:04:10Z</dcterms:created>
  <dcterms:modified xsi:type="dcterms:W3CDTF">2023-12-08T11:17:08Z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0x010100D67E4670575D9E43A0D0956D52CCF417</vt:lpwstr>
  </property>
  <property fmtid="{D5CDD505-2E9C-101B-9397-08002B2CF9AE}" pid="3" name="MediaServiceImageTags">
    <vt:lpwstr/>
  </property>
</Properties>
</file>