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caciaecon.sharepoint.com/sites/ICASAMTR/Shared Documents/General/Cost models/"/>
    </mc:Choice>
  </mc:AlternateContent>
  <xr:revisionPtr revIDLastSave="687" documentId="8_{06D1E480-0670-4188-9DD5-AE42831A1800}" xr6:coauthVersionLast="47" xr6:coauthVersionMax="47" xr10:uidLastSave="{59E1B9E1-878F-4EBB-9666-A55E976D400D}"/>
  <bookViews>
    <workbookView xWindow="28680" yWindow="-120" windowWidth="29040" windowHeight="15840" tabRatio="758" firstSheet="13" activeTab="20" xr2:uid="{F63D13DB-EAF4-4600-B396-F89D7EBFAD03}"/>
  </bookViews>
  <sheets>
    <sheet name="Summary" sheetId="1" r:id="rId1"/>
    <sheet name="BU-LRIC plan" sheetId="12" r:id="rId2"/>
    <sheet name="1 Volumes" sheetId="6" r:id="rId3"/>
    <sheet name="2 Dimensioning" sheetId="15" r:id="rId4"/>
    <sheet name="3 Network demand" sheetId="35" r:id="rId5"/>
    <sheet name="4 Cost - capital" sheetId="3" r:id="rId6"/>
    <sheet name="5 Cost - opex" sheetId="5" r:id="rId7"/>
    <sheet name="6 Termination" sheetId="9" r:id="rId8"/>
    <sheet name="Calibration&gt;&gt;&gt;&gt;" sheetId="89" r:id="rId9"/>
    <sheet name="Assets - HCA" sheetId="91" r:id="rId10"/>
    <sheet name="Revenues, costs" sheetId="92" r:id="rId11"/>
    <sheet name="Volumes details &gt;&gt;&gt;&gt;" sheetId="60" r:id="rId12"/>
    <sheet name="Volume projections" sheetId="87" r:id="rId13"/>
    <sheet name="State of ICT sector" sheetId="86" r:id="rId14"/>
    <sheet name="ITU" sheetId="76" r:id="rId15"/>
    <sheet name="Core network details &gt;&gt;&gt;&gt;" sheetId="40" r:id="rId16"/>
    <sheet name="Core costs" sheetId="41" r:id="rId17"/>
    <sheet name="Additional inputs &gt;&gt;&gt;&gt;" sheetId="20" r:id="rId18"/>
    <sheet name="Erlang B table" sheetId="88" r:id="rId19"/>
    <sheet name="Macroeconomic data" sheetId="8" r:id="rId20"/>
    <sheet name="Lists" sheetId="23" r:id="rId21"/>
    <sheet name="Operator data &gt;&gt;&gt;&gt;&gt;&gt;" sheetId="28" r:id="rId22"/>
    <sheet name="Operator - Confidential" sheetId="22" r:id="rId23"/>
  </sheets>
  <definedNames>
    <definedName name="access_sbc_hardware">'2 Dimensioning'!$D$52</definedName>
    <definedName name="access_sbc_software">'2 Dimensioning'!$D$53</definedName>
    <definedName name="all_volumes_pv">'2 Dimensioning'!#REF!</definedName>
    <definedName name="allminutes_terminated">'2 Dimensioning'!#REF!</definedName>
    <definedName name="as_hardware">'2 Dimensioning'!$D$40</definedName>
    <definedName name="as_software">'2 Dimensioning'!$D$41</definedName>
    <definedName name="busy_hour_call_attempts">'2 Dimensioning'!$D$138:$W$138</definedName>
    <definedName name="busy_hour_call_attempts_noincoming">'2 Dimensioning'!$Z$138:$AS$138</definedName>
    <definedName name="busy_hour_perc">'2 Dimensioning'!$D$34</definedName>
    <definedName name="cdf_hardware">'2 Dimensioning'!$D$42</definedName>
    <definedName name="cdf_software">'2 Dimensioning'!$D$43</definedName>
    <definedName name="core_costs">'4 Cost - capital'!$D$51:$W$51</definedName>
    <definedName name="core_costs_noincoming">'4 Cost - capital'!$Z$51:$AS$51</definedName>
    <definedName name="core_elements">'3 Network demand'!$A$13:$A$28</definedName>
    <definedName name="core_increm">'3 Network demand'!$D$38:$W$53</definedName>
    <definedName name="core_increm_noincoming">'3 Network demand'!$Z$38:$AS$53</definedName>
    <definedName name="core_number">'3 Network demand'!$D$13:$W$28</definedName>
    <definedName name="core_number_noincoming_voice">'3 Network demand'!$Z$13:$AS$28</definedName>
    <definedName name="core_total_costs">'5 Cost - opex'!$D$26:$W$26</definedName>
    <definedName name="core_total_costs_noincoming">'5 Cost - opex'!$Z$26:$AS$26</definedName>
    <definedName name="core_unit_opex">'Core costs'!$K$36:$S$47</definedName>
    <definedName name="currency_scenario">Lists!$A$39:$A$41</definedName>
    <definedName name="debt_perc">'4 Cost - capital'!$B$6</definedName>
    <definedName name="Depreciation_straightline">'Assets - HCA'!$C$11:$V$11</definedName>
    <definedName name="EUR.USD_rate">'4 Cost - capital'!$D$28</definedName>
    <definedName name="fixed_allminutes">'2 Dimensioning'!#REF!</definedName>
    <definedName name="fixed_calls_per_hour">'2 Dimensioning'!$D$111:$W$111</definedName>
    <definedName name="fixed_calls_per_hour_noincoming">'2 Dimensioning'!$Z$111:$AS$111</definedName>
    <definedName name="fixed_calls_per_hour_onnet_factor">'2 Dimensioning'!$D$124:$W$124</definedName>
    <definedName name="fixed_calls_per_hour_onnet_factor_noincoming">'2 Dimensioning'!$Z$124:$AS$124</definedName>
    <definedName name="fixed_calls_persecond">'2 Dimensioning'!$D$153:$W$153</definedName>
    <definedName name="fixed_calls_persecond_noincoming">'2 Dimensioning'!$Z$153:$AS$153</definedName>
    <definedName name="fixed_calls_persecond_onnet_factor">'2 Dimensioning'!$D$165:$W$165</definedName>
    <definedName name="fixed_calls_persecond_onnet_factor_noincoming">'2 Dimensioning'!$Z$165:$AS$165</definedName>
    <definedName name="fixed_calls_service">'2 Dimensioning'!$D$103:$W$108</definedName>
    <definedName name="fixed_calls_service_onnet_factor">'2 Dimensioning'!$D$116:$W$122</definedName>
    <definedName name="fixed_minutes">'2 Dimensioning'!$D$65:$W$71</definedName>
    <definedName name="fixed_minutes_busy_hour">'2 Dimensioning'!$D$79:$W$85</definedName>
    <definedName name="fixed_minutes_busy_hour_onnet_factor">'2 Dimensioning'!$D$90:$W$96</definedName>
    <definedName name="fixed_minutes_incoming">'2 Dimensioning'!$D$170:$W$170</definedName>
    <definedName name="fixed_services">'2 Dimensioning'!$A$65:$A$71</definedName>
    <definedName name="growth_scenarios">Lists!$A$5:$A$7</definedName>
    <definedName name="idle_time">'2 Dimensioning'!$D$24</definedName>
    <definedName name="inflation">'4 Cost - capital'!$D$16:$W$16</definedName>
    <definedName name="inflation_index">'4 Cost - capital'!$D$17:$W$17</definedName>
    <definedName name="interr_cscf_hardware">'2 Dimensioning'!$D$46</definedName>
    <definedName name="interr_cscf_software">'2 Dimensioning'!$D$47</definedName>
    <definedName name="ix_sbc_hardware">'2 Dimensioning'!$D$54</definedName>
    <definedName name="ix_sbc_software">'2 Dimensioning'!$D$55</definedName>
    <definedName name="lraic">'6 Termination'!#REF!</definedName>
    <definedName name="lraic_plus">'6 Termination'!#REF!</definedName>
    <definedName name="lraic_plus_revenues">'Revenues, costs'!$B$16:$U$16</definedName>
    <definedName name="lraic_revenues">'Revenues, costs'!$B$11:$U$11</definedName>
    <definedName name="lric_revenues">'Revenues, costs'!$B$6:$U$6</definedName>
    <definedName name="max_load">'3 Network demand'!$C$5</definedName>
    <definedName name="mins_call">'2 Dimensioning'!$D$23</definedName>
    <definedName name="mins_hour">'2 Dimensioning'!$D$11</definedName>
    <definedName name="minutes_termination">'2 Dimensioning'!#REF!</definedName>
    <definedName name="mrf_hardware">'2 Dimensioning'!$D$50</definedName>
    <definedName name="mrf_software">'2 Dimensioning'!$D$51</definedName>
    <definedName name="onnet_factor">'2 Dimensioning'!$D$17</definedName>
    <definedName name="proxy_cscf_hardware">'2 Dimensioning'!$D$44</definedName>
    <definedName name="proxy_cscf_software">'2 Dimensioning'!$D$45</definedName>
    <definedName name="pure_lric">'6 Termination'!$D$17:$W$17</definedName>
    <definedName name="redundancy">'3 Network demand'!$C$6</definedName>
    <definedName name="sec_minute">'2 Dimensioning'!$D$10</definedName>
    <definedName name="serve_cscf_hardware">'2 Dimensioning'!$D$48</definedName>
    <definedName name="serve_cscf_software">'2 Dimensioning'!$D$49</definedName>
    <definedName name="share_operator">Summary!$B$24</definedName>
    <definedName name="termination_volumes_pv">'2 Dimensioning'!#REF!</definedName>
    <definedName name="time_index">'3 Network demand'!$D$36:$W$36</definedName>
    <definedName name="unit_costs_core_capex">'Core costs'!$D$15:$W$30</definedName>
    <definedName name="unit_costs_core_opex">'Core costs'!$D$36:$W$51</definedName>
    <definedName name="unsuccessful_calls_perc">'2 Dimensioning'!$D$22</definedName>
    <definedName name="wacc_index">'4 Cost - capital'!$D$25:$W$25</definedName>
    <definedName name="years">Summary!$B$29:$U$29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6" l="1"/>
  <c r="B54" i="87" l="1" a="1"/>
  <c r="B54" i="87" s="1"/>
  <c r="B11" i="92" a="1"/>
  <c r="B11" i="92" s="1"/>
  <c r="B17" i="92" a="1"/>
  <c r="B17" i="92" s="1"/>
  <c r="B18" i="92" s="1"/>
  <c r="E20" i="3" l="1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E21" i="3"/>
  <c r="F21" i="3"/>
  <c r="G21" i="3"/>
  <c r="H21" i="3"/>
  <c r="I21" i="3"/>
  <c r="J21" i="3"/>
  <c r="J22" i="3" s="1"/>
  <c r="J24" i="3" s="1"/>
  <c r="K21" i="3"/>
  <c r="L21" i="3"/>
  <c r="M21" i="3"/>
  <c r="N21" i="3"/>
  <c r="O21" i="3"/>
  <c r="P21" i="3"/>
  <c r="P22" i="3" s="1"/>
  <c r="P24" i="3" s="1"/>
  <c r="Q21" i="3"/>
  <c r="R21" i="3"/>
  <c r="S21" i="3"/>
  <c r="T21" i="3"/>
  <c r="U21" i="3"/>
  <c r="V21" i="3"/>
  <c r="W21" i="3"/>
  <c r="D21" i="3"/>
  <c r="Q22" i="3"/>
  <c r="Q24" i="3" s="1"/>
  <c r="D20" i="3"/>
  <c r="D22" i="3" s="1"/>
  <c r="D24" i="3" s="1"/>
  <c r="D5" i="9" a="1"/>
  <c r="D5" i="9" s="1"/>
  <c r="D11" i="9" a="1"/>
  <c r="D11" i="9" s="1"/>
  <c r="W22" i="3" l="1"/>
  <c r="W24" i="3" s="1"/>
  <c r="V22" i="3"/>
  <c r="V24" i="3" s="1"/>
  <c r="N22" i="3"/>
  <c r="N24" i="3" s="1"/>
  <c r="F22" i="3"/>
  <c r="F24" i="3" s="1"/>
  <c r="O22" i="3"/>
  <c r="O24" i="3" s="1"/>
  <c r="G22" i="3"/>
  <c r="G24" i="3" s="1"/>
  <c r="U22" i="3"/>
  <c r="U24" i="3" s="1"/>
  <c r="M22" i="3"/>
  <c r="M24" i="3" s="1"/>
  <c r="E22" i="3"/>
  <c r="E24" i="3" s="1"/>
  <c r="T22" i="3"/>
  <c r="T24" i="3" s="1"/>
  <c r="S22" i="3"/>
  <c r="S24" i="3" s="1"/>
  <c r="K22" i="3"/>
  <c r="K24" i="3" s="1"/>
  <c r="R22" i="3"/>
  <c r="R24" i="3" s="1"/>
  <c r="L22" i="3"/>
  <c r="L24" i="3" s="1"/>
  <c r="I22" i="3"/>
  <c r="I24" i="3" s="1"/>
  <c r="H22" i="3"/>
  <c r="H24" i="3" s="1"/>
  <c r="D25" i="3"/>
  <c r="B7" i="91"/>
  <c r="A6" i="91"/>
  <c r="C5" i="91" a="1"/>
  <c r="C5" i="91" s="1"/>
  <c r="A24" i="92"/>
  <c r="B23" i="92" a="1"/>
  <c r="B23" i="92" s="1"/>
  <c r="B15" i="92" a="1"/>
  <c r="B15" i="92" s="1"/>
  <c r="B10" i="92" a="1"/>
  <c r="B10" i="92" s="1"/>
  <c r="B5" i="92" a="1"/>
  <c r="B5" i="92" s="1"/>
  <c r="A30" i="1"/>
  <c r="A19" i="6" l="1"/>
  <c r="A67" i="15" s="1"/>
  <c r="B19" i="87" l="1" a="1"/>
  <c r="B33" i="87" a="1"/>
  <c r="H28" i="6" s="1"/>
  <c r="B40" i="87" a="1"/>
  <c r="B40" i="87" s="1"/>
  <c r="B35" i="6" s="1"/>
  <c r="B47" i="87" a="1"/>
  <c r="B47" i="87" s="1"/>
  <c r="B41" i="6" s="1"/>
  <c r="B47" i="6"/>
  <c r="M28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B19" i="87" l="1"/>
  <c r="E26" i="87"/>
  <c r="E21" i="6" s="1"/>
  <c r="M26" i="87"/>
  <c r="M21" i="6" s="1"/>
  <c r="U26" i="87"/>
  <c r="U21" i="6" s="1"/>
  <c r="T26" i="87"/>
  <c r="T21" i="6" s="1"/>
  <c r="F26" i="87"/>
  <c r="F21" i="6" s="1"/>
  <c r="N26" i="87"/>
  <c r="N21" i="6" s="1"/>
  <c r="G26" i="87"/>
  <c r="G21" i="6" s="1"/>
  <c r="O26" i="87"/>
  <c r="O21" i="6" s="1"/>
  <c r="Q26" i="87"/>
  <c r="Q21" i="6" s="1"/>
  <c r="J26" i="87"/>
  <c r="J21" i="6" s="1"/>
  <c r="H26" i="87"/>
  <c r="H21" i="6" s="1"/>
  <c r="P26" i="87"/>
  <c r="P21" i="6" s="1"/>
  <c r="R26" i="87"/>
  <c r="R21" i="6" s="1"/>
  <c r="I26" i="87"/>
  <c r="I21" i="6" s="1"/>
  <c r="D26" i="87"/>
  <c r="D21" i="6" s="1"/>
  <c r="C26" i="87"/>
  <c r="C21" i="6" s="1"/>
  <c r="K26" i="87"/>
  <c r="K21" i="6" s="1"/>
  <c r="S26" i="87"/>
  <c r="S21" i="6" s="1"/>
  <c r="L26" i="87"/>
  <c r="L21" i="6" s="1"/>
  <c r="F28" i="6"/>
  <c r="L28" i="6"/>
  <c r="D28" i="6"/>
  <c r="I28" i="6"/>
  <c r="N28" i="6"/>
  <c r="N47" i="6"/>
  <c r="M47" i="6"/>
  <c r="J47" i="6"/>
  <c r="I47" i="6"/>
  <c r="P47" i="6"/>
  <c r="L47" i="6"/>
  <c r="H47" i="6"/>
  <c r="O47" i="6"/>
  <c r="K47" i="6"/>
  <c r="G47" i="6"/>
  <c r="E28" i="6"/>
  <c r="J28" i="6"/>
  <c r="P28" i="6"/>
  <c r="B33" i="87"/>
  <c r="B28" i="6" s="1"/>
  <c r="T28" i="6"/>
  <c r="R28" i="6"/>
  <c r="S14" i="6"/>
  <c r="Q28" i="6"/>
  <c r="T47" i="6"/>
  <c r="R14" i="6"/>
  <c r="U28" i="6"/>
  <c r="S47" i="6"/>
  <c r="T14" i="6"/>
  <c r="U47" i="6"/>
  <c r="Q47" i="6"/>
  <c r="U14" i="6"/>
  <c r="Q14" i="6"/>
  <c r="R47" i="6"/>
  <c r="S28" i="6"/>
  <c r="O28" i="6"/>
  <c r="K28" i="6"/>
  <c r="G28" i="6"/>
  <c r="C28" i="6"/>
  <c r="K35" i="6"/>
  <c r="F47" i="6"/>
  <c r="C35" i="6"/>
  <c r="E47" i="6"/>
  <c r="S35" i="6"/>
  <c r="R35" i="6"/>
  <c r="J35" i="6"/>
  <c r="R41" i="6"/>
  <c r="O35" i="6"/>
  <c r="G35" i="6"/>
  <c r="N41" i="6"/>
  <c r="D47" i="6"/>
  <c r="F41" i="6"/>
  <c r="N35" i="6"/>
  <c r="F35" i="6"/>
  <c r="J41" i="6"/>
  <c r="U35" i="6"/>
  <c r="Q35" i="6"/>
  <c r="M35" i="6"/>
  <c r="I35" i="6"/>
  <c r="E35" i="6"/>
  <c r="T41" i="6"/>
  <c r="P41" i="6"/>
  <c r="L41" i="6"/>
  <c r="H41" i="6"/>
  <c r="D41" i="6"/>
  <c r="C47" i="6"/>
  <c r="U41" i="6"/>
  <c r="Q41" i="6"/>
  <c r="M41" i="6"/>
  <c r="I41" i="6"/>
  <c r="E41" i="6"/>
  <c r="T35" i="6"/>
  <c r="P35" i="6"/>
  <c r="L35" i="6"/>
  <c r="H35" i="6"/>
  <c r="D35" i="6"/>
  <c r="S41" i="6"/>
  <c r="O41" i="6"/>
  <c r="K41" i="6"/>
  <c r="G41" i="6"/>
  <c r="C41" i="6"/>
  <c r="B14" i="6" l="1"/>
  <c r="B26" i="87"/>
  <c r="B21" i="6" s="1"/>
  <c r="B39" i="8" a="1"/>
  <c r="B39" i="8" s="1"/>
  <c r="B33" i="8" a="1"/>
  <c r="B33" i="8" s="1"/>
  <c r="B28" i="8" a="1"/>
  <c r="B28" i="8" s="1"/>
  <c r="D89" i="15" a="1"/>
  <c r="D89" i="15" s="1"/>
  <c r="Z144" i="15" a="1"/>
  <c r="Z144" i="15" s="1"/>
  <c r="D144" i="15" a="1"/>
  <c r="D144" i="15" s="1"/>
  <c r="E11" i="76"/>
  <c r="E10" i="76"/>
  <c r="E9" i="76"/>
  <c r="E8" i="76"/>
  <c r="E7" i="76"/>
  <c r="E6" i="76"/>
  <c r="Z115" i="15" a="1"/>
  <c r="Z115" i="15" s="1"/>
  <c r="D115" i="15" a="1"/>
  <c r="D115" i="15" s="1"/>
  <c r="D11" i="76"/>
  <c r="F11" i="76"/>
  <c r="G11" i="76"/>
  <c r="C50" i="87" l="1"/>
  <c r="C44" i="6" s="1"/>
  <c r="C49" i="87"/>
  <c r="C43" i="6" s="1"/>
  <c r="C48" i="87"/>
  <c r="C42" i="6" s="1"/>
  <c r="B43" i="87"/>
  <c r="B38" i="6" s="1"/>
  <c r="B41" i="87"/>
  <c r="B36" i="6" s="1"/>
  <c r="B42" i="87"/>
  <c r="B37" i="6" s="1"/>
  <c r="C36" i="87"/>
  <c r="C31" i="6" s="1"/>
  <c r="C35" i="87"/>
  <c r="C30" i="6" s="1"/>
  <c r="C34" i="87"/>
  <c r="C29" i="6" s="1"/>
  <c r="C43" i="87"/>
  <c r="C38" i="6" s="1"/>
  <c r="C42" i="87"/>
  <c r="C37" i="6" s="1"/>
  <c r="C41" i="87"/>
  <c r="C36" i="6" s="1"/>
  <c r="E43" i="87"/>
  <c r="E42" i="87"/>
  <c r="E41" i="87"/>
  <c r="C57" i="87"/>
  <c r="C50" i="6" s="1"/>
  <c r="C56" i="87"/>
  <c r="C49" i="6" s="1"/>
  <c r="C55" i="87"/>
  <c r="C48" i="6" s="1"/>
  <c r="D43" i="87"/>
  <c r="D38" i="6" s="1"/>
  <c r="D42" i="87"/>
  <c r="D37" i="6" s="1"/>
  <c r="D41" i="87"/>
  <c r="D36" i="6" s="1"/>
  <c r="C21" i="87"/>
  <c r="C13" i="87"/>
  <c r="C8" i="6" s="1"/>
  <c r="C20" i="87"/>
  <c r="C22" i="87"/>
  <c r="C14" i="87"/>
  <c r="C9" i="6" s="1"/>
  <c r="C15" i="87"/>
  <c r="C10" i="6" s="1"/>
  <c r="D10" i="76"/>
  <c r="D9" i="76"/>
  <c r="D8" i="76"/>
  <c r="D7" i="76"/>
  <c r="Z64" i="15" a="1"/>
  <c r="Z64" i="15" s="1"/>
  <c r="Z156" i="15" a="1"/>
  <c r="Z156" i="15" s="1"/>
  <c r="Z129" i="15" a="1"/>
  <c r="Z129" i="15" s="1"/>
  <c r="Z102" i="15" a="1"/>
  <c r="Z102" i="15" s="1"/>
  <c r="G10" i="76"/>
  <c r="G9" i="76"/>
  <c r="G8" i="76"/>
  <c r="G7" i="76"/>
  <c r="G6" i="76"/>
  <c r="F10" i="76"/>
  <c r="F9" i="76"/>
  <c r="F8" i="76"/>
  <c r="F6" i="76"/>
  <c r="D6" i="76"/>
  <c r="F7" i="76"/>
  <c r="B23" i="35"/>
  <c r="B24" i="35"/>
  <c r="D3" i="41" a="1"/>
  <c r="D3" i="41" s="1"/>
  <c r="E4" i="41"/>
  <c r="E5" i="41" s="1"/>
  <c r="F4" i="41"/>
  <c r="G4" i="41"/>
  <c r="H4" i="41"/>
  <c r="I4" i="41"/>
  <c r="J4" i="41"/>
  <c r="K4" i="41"/>
  <c r="L4" i="41"/>
  <c r="M4" i="41"/>
  <c r="N4" i="41"/>
  <c r="O4" i="41"/>
  <c r="P4" i="41"/>
  <c r="Q4" i="41"/>
  <c r="R4" i="41"/>
  <c r="S4" i="41"/>
  <c r="T4" i="41"/>
  <c r="U4" i="41"/>
  <c r="V4" i="41"/>
  <c r="W4" i="41"/>
  <c r="D4" i="41"/>
  <c r="D47" i="15"/>
  <c r="D46" i="15"/>
  <c r="C15" i="6" l="1"/>
  <c r="C27" i="87"/>
  <c r="C22" i="6" s="1"/>
  <c r="C16" i="6"/>
  <c r="C28" i="87"/>
  <c r="C23" i="6" s="1"/>
  <c r="C17" i="6"/>
  <c r="C29" i="87"/>
  <c r="C24" i="6" s="1"/>
  <c r="F5" i="41"/>
  <c r="F41" i="87"/>
  <c r="E36" i="6"/>
  <c r="F42" i="87"/>
  <c r="E37" i="6"/>
  <c r="F43" i="87"/>
  <c r="E38" i="6"/>
  <c r="D22" i="87"/>
  <c r="D14" i="87"/>
  <c r="D9" i="6" s="1"/>
  <c r="D20" i="87"/>
  <c r="D13" i="87"/>
  <c r="D8" i="6" s="1"/>
  <c r="D15" i="87"/>
  <c r="D10" i="6" s="1"/>
  <c r="D21" i="87"/>
  <c r="E15" i="87"/>
  <c r="E21" i="87"/>
  <c r="E28" i="87" s="1"/>
  <c r="E23" i="6" s="1"/>
  <c r="E13" i="87"/>
  <c r="E22" i="87"/>
  <c r="E29" i="87" s="1"/>
  <c r="E24" i="6" s="1"/>
  <c r="E20" i="87"/>
  <c r="E27" i="87" s="1"/>
  <c r="E22" i="6" s="1"/>
  <c r="E14" i="87"/>
  <c r="D50" i="87"/>
  <c r="D44" i="6" s="1"/>
  <c r="D49" i="87"/>
  <c r="D43" i="6" s="1"/>
  <c r="D48" i="87"/>
  <c r="D42" i="6" s="1"/>
  <c r="E35" i="87"/>
  <c r="E36" i="87"/>
  <c r="E34" i="87"/>
  <c r="B36" i="87"/>
  <c r="B31" i="6" s="1"/>
  <c r="B34" i="87"/>
  <c r="B29" i="6" s="1"/>
  <c r="B35" i="87"/>
  <c r="B30" i="6" s="1"/>
  <c r="D36" i="87"/>
  <c r="D31" i="6" s="1"/>
  <c r="D35" i="87"/>
  <c r="D30" i="6" s="1"/>
  <c r="D34" i="87"/>
  <c r="D29" i="6" s="1"/>
  <c r="D57" i="87"/>
  <c r="D50" i="6" s="1"/>
  <c r="D56" i="87"/>
  <c r="D49" i="6" s="1"/>
  <c r="D55" i="87"/>
  <c r="D48" i="6" s="1"/>
  <c r="E49" i="87"/>
  <c r="E48" i="87"/>
  <c r="E50" i="87"/>
  <c r="B50" i="87"/>
  <c r="B44" i="6" s="1"/>
  <c r="B49" i="87"/>
  <c r="B43" i="6" s="1"/>
  <c r="B48" i="87"/>
  <c r="B42" i="6" s="1"/>
  <c r="E56" i="87"/>
  <c r="E57" i="87"/>
  <c r="E55" i="87"/>
  <c r="B57" i="87"/>
  <c r="B50" i="6" s="1"/>
  <c r="B56" i="87"/>
  <c r="B49" i="6" s="1"/>
  <c r="B55" i="87"/>
  <c r="B48" i="6" s="1"/>
  <c r="B22" i="87"/>
  <c r="B21" i="87"/>
  <c r="B20" i="87"/>
  <c r="B15" i="87"/>
  <c r="B10" i="6" s="1"/>
  <c r="B14" i="87"/>
  <c r="B9" i="6" s="1"/>
  <c r="B13" i="87"/>
  <c r="B8" i="6" s="1"/>
  <c r="A36" i="41" a="1"/>
  <c r="A36" i="41" s="1"/>
  <c r="A15" i="41" a="1"/>
  <c r="A15" i="41" s="1"/>
  <c r="A34" i="3" a="1"/>
  <c r="A34" i="3" s="1"/>
  <c r="D15" i="6" l="1"/>
  <c r="D27" i="87"/>
  <c r="D22" i="6" s="1"/>
  <c r="B15" i="6"/>
  <c r="B27" i="87"/>
  <c r="B22" i="6" s="1"/>
  <c r="D16" i="6"/>
  <c r="D28" i="87"/>
  <c r="D23" i="6" s="1"/>
  <c r="D17" i="6"/>
  <c r="D29" i="87"/>
  <c r="D24" i="6" s="1"/>
  <c r="B16" i="6"/>
  <c r="B28" i="87"/>
  <c r="B23" i="6" s="1"/>
  <c r="B17" i="6"/>
  <c r="B29" i="87"/>
  <c r="B24" i="6" s="1"/>
  <c r="G5" i="41"/>
  <c r="F56" i="87"/>
  <c r="E49" i="6"/>
  <c r="F35" i="87"/>
  <c r="E30" i="6"/>
  <c r="F14" i="87"/>
  <c r="E9" i="6"/>
  <c r="F21" i="87"/>
  <c r="F28" i="87" s="1"/>
  <c r="F23" i="6" s="1"/>
  <c r="E16" i="6"/>
  <c r="F55" i="87"/>
  <c r="E48" i="6"/>
  <c r="F48" i="87"/>
  <c r="E42" i="6"/>
  <c r="F34" i="87"/>
  <c r="E29" i="6"/>
  <c r="F22" i="87"/>
  <c r="F29" i="87" s="1"/>
  <c r="F24" i="6" s="1"/>
  <c r="E17" i="6"/>
  <c r="F57" i="87"/>
  <c r="E50" i="6"/>
  <c r="F49" i="87"/>
  <c r="E43" i="6"/>
  <c r="F36" i="87"/>
  <c r="E31" i="6"/>
  <c r="F13" i="87"/>
  <c r="E8" i="6"/>
  <c r="G42" i="87"/>
  <c r="F37" i="6"/>
  <c r="F50" i="87"/>
  <c r="E44" i="6"/>
  <c r="F20" i="87"/>
  <c r="F27" i="87" s="1"/>
  <c r="F22" i="6" s="1"/>
  <c r="E15" i="6"/>
  <c r="F15" i="87"/>
  <c r="E10" i="6"/>
  <c r="G43" i="87"/>
  <c r="F38" i="6"/>
  <c r="G41" i="87"/>
  <c r="F36" i="6"/>
  <c r="B14" i="35"/>
  <c r="B15" i="35"/>
  <c r="B16" i="35"/>
  <c r="B17" i="35"/>
  <c r="B18" i="35"/>
  <c r="B19" i="35"/>
  <c r="B20" i="35"/>
  <c r="B21" i="35"/>
  <c r="B22" i="35"/>
  <c r="B25" i="35"/>
  <c r="B26" i="35"/>
  <c r="B27" i="35"/>
  <c r="B28" i="35"/>
  <c r="B13" i="35"/>
  <c r="D156" i="15" a="1"/>
  <c r="D156" i="15" s="1"/>
  <c r="D129" i="15" a="1"/>
  <c r="D129" i="15" s="1"/>
  <c r="D64" i="15" a="1"/>
  <c r="D64" i="15" s="1"/>
  <c r="D30" i="15"/>
  <c r="D34" i="15" s="1"/>
  <c r="H5" i="41" l="1"/>
  <c r="G50" i="87"/>
  <c r="F44" i="6"/>
  <c r="G22" i="87"/>
  <c r="G29" i="87" s="1"/>
  <c r="G24" i="6" s="1"/>
  <c r="F17" i="6"/>
  <c r="G35" i="87"/>
  <c r="F30" i="6"/>
  <c r="G36" i="6"/>
  <c r="H41" i="87"/>
  <c r="G15" i="87"/>
  <c r="F10" i="6"/>
  <c r="G13" i="87"/>
  <c r="F8" i="6"/>
  <c r="G49" i="87"/>
  <c r="F43" i="6"/>
  <c r="G48" i="87"/>
  <c r="F42" i="6"/>
  <c r="G21" i="87"/>
  <c r="G28" i="87" s="1"/>
  <c r="G23" i="6" s="1"/>
  <c r="F16" i="6"/>
  <c r="G38" i="6"/>
  <c r="H43" i="87"/>
  <c r="G20" i="87"/>
  <c r="G27" i="87" s="1"/>
  <c r="G22" i="6" s="1"/>
  <c r="F15" i="6"/>
  <c r="G37" i="6"/>
  <c r="H42" i="87"/>
  <c r="G36" i="87"/>
  <c r="F31" i="6"/>
  <c r="G57" i="87"/>
  <c r="F50" i="6"/>
  <c r="G34" i="87"/>
  <c r="F29" i="6"/>
  <c r="G55" i="87"/>
  <c r="F48" i="6"/>
  <c r="G14" i="87"/>
  <c r="F9" i="6"/>
  <c r="G56" i="87"/>
  <c r="F49" i="6"/>
  <c r="A40" i="15" a="1"/>
  <c r="A40" i="15" s="1"/>
  <c r="A38" i="35" a="1"/>
  <c r="A38" i="35" s="1"/>
  <c r="I5" i="41" l="1"/>
  <c r="H37" i="6"/>
  <c r="I42" i="87"/>
  <c r="H36" i="6"/>
  <c r="I41" i="87"/>
  <c r="G49" i="6"/>
  <c r="H56" i="87"/>
  <c r="G50" i="6"/>
  <c r="H57" i="87"/>
  <c r="G8" i="6"/>
  <c r="H13" i="87"/>
  <c r="H38" i="6"/>
  <c r="I43" i="87"/>
  <c r="G48" i="6"/>
  <c r="H55" i="87"/>
  <c r="G42" i="6"/>
  <c r="H48" i="87"/>
  <c r="G17" i="6"/>
  <c r="H22" i="87"/>
  <c r="H29" i="87" s="1"/>
  <c r="H24" i="6" s="1"/>
  <c r="G9" i="6"/>
  <c r="H14" i="87"/>
  <c r="G29" i="6"/>
  <c r="H34" i="87"/>
  <c r="G31" i="6"/>
  <c r="H36" i="87"/>
  <c r="G15" i="6"/>
  <c r="H20" i="87"/>
  <c r="H27" i="87" s="1"/>
  <c r="H22" i="6" s="1"/>
  <c r="G16" i="6"/>
  <c r="H21" i="87"/>
  <c r="H28" i="87" s="1"/>
  <c r="H23" i="6" s="1"/>
  <c r="G43" i="6"/>
  <c r="H49" i="87"/>
  <c r="G10" i="6"/>
  <c r="H15" i="87"/>
  <c r="G30" i="6"/>
  <c r="H35" i="87"/>
  <c r="G44" i="6"/>
  <c r="H50" i="87"/>
  <c r="A12" i="6"/>
  <c r="A66" i="15" s="1"/>
  <c r="A5" i="6"/>
  <c r="A65" i="15" s="1"/>
  <c r="A55" i="87" a="1"/>
  <c r="A55" i="87" s="1"/>
  <c r="A48" i="6" s="1"/>
  <c r="A48" i="87" a="1"/>
  <c r="A48" i="87" s="1"/>
  <c r="A42" i="6" s="1"/>
  <c r="A20" i="87" a="1"/>
  <c r="A29" i="87" s="1"/>
  <c r="A24" i="6" s="1"/>
  <c r="A52" i="87"/>
  <c r="A46" i="6" s="1"/>
  <c r="A71" i="15" s="1"/>
  <c r="A45" i="87"/>
  <c r="A40" i="6" s="1"/>
  <c r="A70" i="15" s="1"/>
  <c r="A41" i="87" a="1"/>
  <c r="A41" i="87" s="1"/>
  <c r="A36" i="6" s="1"/>
  <c r="A34" i="87" a="1"/>
  <c r="A34" i="87" s="1"/>
  <c r="A29" i="6" s="1"/>
  <c r="A38" i="87"/>
  <c r="A33" i="6" s="1"/>
  <c r="A69" i="15" s="1"/>
  <c r="A31" i="87"/>
  <c r="A26" i="6" s="1"/>
  <c r="A68" i="15" s="1"/>
  <c r="B12" i="87" a="1"/>
  <c r="A4" i="87" a="1"/>
  <c r="A4" i="87" s="1"/>
  <c r="A13" i="87" a="1"/>
  <c r="A13" i="87" s="1"/>
  <c r="A8" i="6" s="1"/>
  <c r="A20" i="87" l="1"/>
  <c r="A28" i="87"/>
  <c r="A23" i="6" s="1"/>
  <c r="J5" i="41"/>
  <c r="H44" i="6"/>
  <c r="I50" i="87"/>
  <c r="H16" i="6"/>
  <c r="I21" i="87"/>
  <c r="I28" i="87" s="1"/>
  <c r="I23" i="6" s="1"/>
  <c r="H9" i="6"/>
  <c r="I14" i="87"/>
  <c r="H42" i="6"/>
  <c r="I48" i="87"/>
  <c r="H50" i="6"/>
  <c r="I57" i="87"/>
  <c r="H30" i="6"/>
  <c r="I35" i="87"/>
  <c r="H43" i="6"/>
  <c r="I49" i="87"/>
  <c r="H15" i="6"/>
  <c r="I20" i="87"/>
  <c r="I27" i="87" s="1"/>
  <c r="I22" i="6" s="1"/>
  <c r="H29" i="6"/>
  <c r="I34" i="87"/>
  <c r="H17" i="6"/>
  <c r="I22" i="87"/>
  <c r="I29" i="87" s="1"/>
  <c r="I24" i="6" s="1"/>
  <c r="H48" i="6"/>
  <c r="I55" i="87"/>
  <c r="H8" i="6"/>
  <c r="I13" i="87"/>
  <c r="H49" i="6"/>
  <c r="I56" i="87"/>
  <c r="I37" i="6"/>
  <c r="J42" i="87"/>
  <c r="H10" i="6"/>
  <c r="I15" i="87"/>
  <c r="H31" i="6"/>
  <c r="I36" i="87"/>
  <c r="I38" i="6"/>
  <c r="J43" i="87"/>
  <c r="I36" i="6"/>
  <c r="J41" i="87"/>
  <c r="C7" i="6"/>
  <c r="G7" i="6"/>
  <c r="K7" i="6"/>
  <c r="O7" i="6"/>
  <c r="S7" i="6"/>
  <c r="E7" i="6"/>
  <c r="I7" i="6"/>
  <c r="Q7" i="6"/>
  <c r="J7" i="6"/>
  <c r="R7" i="6"/>
  <c r="D7" i="6"/>
  <c r="H7" i="6"/>
  <c r="L7" i="6"/>
  <c r="P7" i="6"/>
  <c r="T7" i="6"/>
  <c r="M7" i="6"/>
  <c r="U7" i="6"/>
  <c r="F7" i="6"/>
  <c r="N7" i="6"/>
  <c r="B12" i="87"/>
  <c r="B7" i="6" s="1"/>
  <c r="A43" i="6"/>
  <c r="A90" i="15" a="1"/>
  <c r="A90" i="15" s="1"/>
  <c r="A145" i="15" a="1"/>
  <c r="A145" i="15" s="1"/>
  <c r="A116" i="15" a="1"/>
  <c r="A116" i="15" s="1"/>
  <c r="A49" i="6"/>
  <c r="A37" i="6"/>
  <c r="A16" i="6"/>
  <c r="A157" i="15" a="1"/>
  <c r="A157" i="15" s="1"/>
  <c r="A130" i="15" a="1"/>
  <c r="A130" i="15" s="1"/>
  <c r="A103" i="15" a="1"/>
  <c r="A103" i="15" s="1"/>
  <c r="A79" i="15" a="1"/>
  <c r="A79" i="15" s="1"/>
  <c r="A31" i="6"/>
  <c r="A10" i="6"/>
  <c r="A30" i="6"/>
  <c r="A9" i="6"/>
  <c r="A50" i="6"/>
  <c r="A38" i="6"/>
  <c r="A17" i="6"/>
  <c r="A44" i="6"/>
  <c r="D16" i="9" a="1"/>
  <c r="D16" i="9" s="1"/>
  <c r="D35" i="41" a="1"/>
  <c r="D35" i="41" s="1"/>
  <c r="Z36" i="35" a="1"/>
  <c r="Z36" i="35" s="1"/>
  <c r="Z33" i="3" a="1"/>
  <c r="Z33" i="3" s="1"/>
  <c r="B9" i="23" a="1"/>
  <c r="B9" i="23" s="1"/>
  <c r="F65" i="15" l="1"/>
  <c r="D69" i="15"/>
  <c r="E68" i="15"/>
  <c r="G69" i="15"/>
  <c r="F71" i="15"/>
  <c r="D70" i="15"/>
  <c r="D65" i="15"/>
  <c r="A15" i="6"/>
  <c r="G66" i="15" s="1"/>
  <c r="A27" i="87"/>
  <c r="A22" i="6" s="1"/>
  <c r="K5" i="41"/>
  <c r="J37" i="6"/>
  <c r="K42" i="87"/>
  <c r="I17" i="6"/>
  <c r="J22" i="87"/>
  <c r="J29" i="87" s="1"/>
  <c r="J24" i="6" s="1"/>
  <c r="I15" i="6"/>
  <c r="J20" i="87"/>
  <c r="J27" i="87" s="1"/>
  <c r="J22" i="6" s="1"/>
  <c r="I42" i="6"/>
  <c r="J48" i="87"/>
  <c r="G65" i="15"/>
  <c r="G70" i="15"/>
  <c r="J38" i="6"/>
  <c r="K43" i="87"/>
  <c r="I10" i="6"/>
  <c r="J15" i="87"/>
  <c r="I49" i="6"/>
  <c r="J56" i="87"/>
  <c r="I48" i="6"/>
  <c r="J55" i="87"/>
  <c r="I29" i="6"/>
  <c r="J34" i="87"/>
  <c r="I43" i="6"/>
  <c r="J49" i="87"/>
  <c r="I50" i="6"/>
  <c r="J57" i="87"/>
  <c r="I9" i="6"/>
  <c r="J14" i="87"/>
  <c r="I44" i="6"/>
  <c r="J50" i="87"/>
  <c r="J36" i="6"/>
  <c r="K41" i="87"/>
  <c r="I31" i="6"/>
  <c r="J36" i="87"/>
  <c r="I8" i="6"/>
  <c r="J13" i="87"/>
  <c r="I30" i="6"/>
  <c r="J35" i="87"/>
  <c r="I16" i="6"/>
  <c r="J21" i="87"/>
  <c r="J28" i="87" s="1"/>
  <c r="J23" i="6" s="1"/>
  <c r="G71" i="15"/>
  <c r="G68" i="15"/>
  <c r="D68" i="15"/>
  <c r="F70" i="15"/>
  <c r="F69" i="15"/>
  <c r="E71" i="15"/>
  <c r="F68" i="15"/>
  <c r="H69" i="15"/>
  <c r="E65" i="15"/>
  <c r="E70" i="15"/>
  <c r="E69" i="15"/>
  <c r="D71" i="15"/>
  <c r="I69" i="15"/>
  <c r="H68" i="15"/>
  <c r="H65" i="15"/>
  <c r="H70" i="15"/>
  <c r="H71" i="15"/>
  <c r="E66" i="15" l="1"/>
  <c r="E67" i="15"/>
  <c r="F67" i="15"/>
  <c r="K67" i="15"/>
  <c r="D67" i="15"/>
  <c r="G67" i="15"/>
  <c r="L67" i="15"/>
  <c r="I67" i="15"/>
  <c r="H67" i="15"/>
  <c r="J67" i="15"/>
  <c r="F66" i="15"/>
  <c r="H66" i="15"/>
  <c r="H170" i="15" s="1"/>
  <c r="H12" i="9" s="1"/>
  <c r="D66" i="15"/>
  <c r="L5" i="41"/>
  <c r="J43" i="6"/>
  <c r="K49" i="87"/>
  <c r="J48" i="6"/>
  <c r="K55" i="87"/>
  <c r="J10" i="6"/>
  <c r="K15" i="87"/>
  <c r="J42" i="6"/>
  <c r="K48" i="87"/>
  <c r="J44" i="6"/>
  <c r="K50" i="87"/>
  <c r="J50" i="6"/>
  <c r="K57" i="87"/>
  <c r="J29" i="6"/>
  <c r="K34" i="87"/>
  <c r="J49" i="6"/>
  <c r="K56" i="87"/>
  <c r="K38" i="6"/>
  <c r="L43" i="87"/>
  <c r="J15" i="6"/>
  <c r="K20" i="87"/>
  <c r="K27" i="87" s="1"/>
  <c r="K22" i="6" s="1"/>
  <c r="K37" i="6"/>
  <c r="L42" i="87"/>
  <c r="J9" i="6"/>
  <c r="K14" i="87"/>
  <c r="J17" i="6"/>
  <c r="K22" i="87"/>
  <c r="K29" i="87" s="1"/>
  <c r="K24" i="6" s="1"/>
  <c r="M67" i="15" s="1"/>
  <c r="J30" i="6"/>
  <c r="K35" i="87"/>
  <c r="J31" i="6"/>
  <c r="K36" i="87"/>
  <c r="J16" i="6"/>
  <c r="K21" i="87"/>
  <c r="K28" i="87" s="1"/>
  <c r="K23" i="6" s="1"/>
  <c r="J8" i="6"/>
  <c r="K13" i="87"/>
  <c r="K36" i="6"/>
  <c r="L41" i="87"/>
  <c r="I66" i="15"/>
  <c r="I65" i="15"/>
  <c r="I71" i="15"/>
  <c r="I70" i="15"/>
  <c r="I68" i="15"/>
  <c r="J69" i="15"/>
  <c r="G170" i="15"/>
  <c r="G12" i="9" s="1"/>
  <c r="E170" i="15"/>
  <c r="E12" i="9" s="1"/>
  <c r="F170" i="15"/>
  <c r="F12" i="9" s="1"/>
  <c r="D170" i="15"/>
  <c r="D12" i="9" s="1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R5" i="8"/>
  <c r="N16" i="3" s="1"/>
  <c r="N23" i="3" s="1"/>
  <c r="S5" i="8"/>
  <c r="O16" i="3" s="1"/>
  <c r="O23" i="3" s="1"/>
  <c r="T5" i="8"/>
  <c r="P16" i="3" s="1"/>
  <c r="P23" i="3" s="1"/>
  <c r="U5" i="8"/>
  <c r="Q16" i="3" s="1"/>
  <c r="Q23" i="3" s="1"/>
  <c r="V5" i="8"/>
  <c r="R16" i="3" s="1"/>
  <c r="R23" i="3" s="1"/>
  <c r="W5" i="8"/>
  <c r="S16" i="3" s="1"/>
  <c r="S23" i="3" s="1"/>
  <c r="X5" i="8"/>
  <c r="T16" i="3" s="1"/>
  <c r="T23" i="3" s="1"/>
  <c r="Y5" i="8"/>
  <c r="U16" i="3" s="1"/>
  <c r="U23" i="3" s="1"/>
  <c r="Z5" i="8"/>
  <c r="V16" i="3" s="1"/>
  <c r="V23" i="3" s="1"/>
  <c r="AA5" i="8"/>
  <c r="W16" i="3" s="1"/>
  <c r="W23" i="3" s="1"/>
  <c r="M5" i="41" l="1"/>
  <c r="L36" i="6"/>
  <c r="M41" i="87"/>
  <c r="K30" i="6"/>
  <c r="L35" i="87"/>
  <c r="K15" i="6"/>
  <c r="L20" i="87"/>
  <c r="L27" i="87" s="1"/>
  <c r="L22" i="6" s="1"/>
  <c r="K42" i="6"/>
  <c r="L48" i="87"/>
  <c r="K8" i="6"/>
  <c r="L13" i="87"/>
  <c r="K31" i="6"/>
  <c r="L36" i="87"/>
  <c r="K17" i="6"/>
  <c r="L22" i="87"/>
  <c r="L29" i="87" s="1"/>
  <c r="L24" i="6" s="1"/>
  <c r="N67" i="15" s="1"/>
  <c r="L37" i="6"/>
  <c r="M42" i="87"/>
  <c r="L38" i="6"/>
  <c r="M43" i="87"/>
  <c r="K29" i="6"/>
  <c r="L34" i="87"/>
  <c r="K44" i="6"/>
  <c r="L50" i="87"/>
  <c r="K10" i="6"/>
  <c r="L15" i="87"/>
  <c r="K43" i="6"/>
  <c r="L49" i="87"/>
  <c r="K16" i="6"/>
  <c r="L21" i="87"/>
  <c r="L28" i="87" s="1"/>
  <c r="L23" i="6" s="1"/>
  <c r="K9" i="6"/>
  <c r="L14" i="87"/>
  <c r="K49" i="6"/>
  <c r="L56" i="87"/>
  <c r="K50" i="6"/>
  <c r="L57" i="87"/>
  <c r="K48" i="6"/>
  <c r="L55" i="87"/>
  <c r="I170" i="15"/>
  <c r="I12" i="9" s="1"/>
  <c r="H13" i="3"/>
  <c r="D13" i="3"/>
  <c r="G13" i="3"/>
  <c r="F13" i="3"/>
  <c r="E13" i="3"/>
  <c r="J68" i="15"/>
  <c r="J71" i="15"/>
  <c r="J65" i="15"/>
  <c r="K69" i="15"/>
  <c r="J70" i="15"/>
  <c r="J66" i="15"/>
  <c r="AA38" i="8"/>
  <c r="AA32" i="8"/>
  <c r="S38" i="8"/>
  <c r="S32" i="8"/>
  <c r="K38" i="8"/>
  <c r="K32" i="8"/>
  <c r="Z32" i="8"/>
  <c r="Z38" i="8"/>
  <c r="V32" i="8"/>
  <c r="V38" i="8"/>
  <c r="R38" i="8"/>
  <c r="R32" i="8"/>
  <c r="N38" i="8"/>
  <c r="N32" i="8"/>
  <c r="J38" i="8"/>
  <c r="J32" i="8"/>
  <c r="W38" i="8"/>
  <c r="W32" i="8"/>
  <c r="O38" i="8"/>
  <c r="O32" i="8"/>
  <c r="Y38" i="8"/>
  <c r="Y32" i="8"/>
  <c r="U38" i="8"/>
  <c r="U32" i="8"/>
  <c r="Q38" i="8"/>
  <c r="Q32" i="8"/>
  <c r="M38" i="8"/>
  <c r="M32" i="8"/>
  <c r="I38" i="8"/>
  <c r="I32" i="8"/>
  <c r="X38" i="8"/>
  <c r="X32" i="8"/>
  <c r="T38" i="8"/>
  <c r="T32" i="8"/>
  <c r="P38" i="8"/>
  <c r="P32" i="8"/>
  <c r="L38" i="8"/>
  <c r="L32" i="8"/>
  <c r="H38" i="8"/>
  <c r="H32" i="8"/>
  <c r="D20" i="41" l="1"/>
  <c r="M20" i="41" s="1"/>
  <c r="D23" i="41"/>
  <c r="M23" i="41" s="1"/>
  <c r="D17" i="41"/>
  <c r="M17" i="41" s="1"/>
  <c r="D30" i="41"/>
  <c r="D22" i="41"/>
  <c r="M22" i="41" s="1"/>
  <c r="D29" i="41"/>
  <c r="D21" i="41"/>
  <c r="M21" i="41" s="1"/>
  <c r="D15" i="41"/>
  <c r="M15" i="41" s="1"/>
  <c r="D28" i="41"/>
  <c r="M28" i="41" s="1"/>
  <c r="D19" i="41"/>
  <c r="D27" i="41"/>
  <c r="M27" i="41" s="1"/>
  <c r="D18" i="41"/>
  <c r="M18" i="41" s="1"/>
  <c r="D26" i="41"/>
  <c r="D25" i="41"/>
  <c r="D16" i="41"/>
  <c r="D24" i="41"/>
  <c r="M24" i="41" s="1"/>
  <c r="N5" i="41"/>
  <c r="M19" i="41"/>
  <c r="L48" i="6"/>
  <c r="M55" i="87"/>
  <c r="L16" i="6"/>
  <c r="M21" i="87"/>
  <c r="M28" i="87" s="1"/>
  <c r="M23" i="6" s="1"/>
  <c r="L29" i="6"/>
  <c r="M34" i="87"/>
  <c r="M37" i="6"/>
  <c r="N42" i="87"/>
  <c r="L31" i="6"/>
  <c r="M36" i="87"/>
  <c r="L30" i="6"/>
  <c r="M35" i="87"/>
  <c r="L50" i="6"/>
  <c r="M57" i="87"/>
  <c r="L9" i="6"/>
  <c r="M14" i="87"/>
  <c r="L43" i="6"/>
  <c r="M49" i="87"/>
  <c r="L44" i="6"/>
  <c r="M50" i="87"/>
  <c r="M38" i="6"/>
  <c r="N43" i="87"/>
  <c r="L17" i="6"/>
  <c r="M22" i="87"/>
  <c r="M29" i="87" s="1"/>
  <c r="M24" i="6" s="1"/>
  <c r="O67" i="15" s="1"/>
  <c r="L8" i="6"/>
  <c r="M13" i="87"/>
  <c r="L15" i="6"/>
  <c r="M20" i="87"/>
  <c r="M27" i="87" s="1"/>
  <c r="M22" i="6" s="1"/>
  <c r="M36" i="6"/>
  <c r="N41" i="87"/>
  <c r="L49" i="6"/>
  <c r="M56" i="87"/>
  <c r="L10" i="6"/>
  <c r="M15" i="87"/>
  <c r="L42" i="6"/>
  <c r="M48" i="87"/>
  <c r="J170" i="15"/>
  <c r="J12" i="9" s="1"/>
  <c r="H15" i="3"/>
  <c r="D15" i="3"/>
  <c r="G15" i="3"/>
  <c r="F15" i="3"/>
  <c r="E15" i="3"/>
  <c r="H14" i="3"/>
  <c r="D14" i="3"/>
  <c r="G14" i="3"/>
  <c r="F14" i="3"/>
  <c r="E14" i="3"/>
  <c r="K66" i="15"/>
  <c r="L69" i="15"/>
  <c r="K65" i="15"/>
  <c r="K71" i="15"/>
  <c r="K70" i="15"/>
  <c r="E24" i="41" l="1"/>
  <c r="F24" i="41"/>
  <c r="G24" i="41"/>
  <c r="H24" i="41"/>
  <c r="I24" i="41"/>
  <c r="J24" i="41"/>
  <c r="K24" i="41"/>
  <c r="L24" i="41"/>
  <c r="E16" i="41"/>
  <c r="F16" i="41"/>
  <c r="G16" i="41"/>
  <c r="H16" i="41"/>
  <c r="I16" i="41"/>
  <c r="J16" i="41"/>
  <c r="K16" i="41"/>
  <c r="L16" i="41"/>
  <c r="E21" i="41"/>
  <c r="F21" i="41"/>
  <c r="G21" i="41"/>
  <c r="H21" i="41"/>
  <c r="I21" i="41"/>
  <c r="J21" i="41"/>
  <c r="K21" i="41"/>
  <c r="L21" i="41"/>
  <c r="E25" i="41"/>
  <c r="F25" i="41"/>
  <c r="G25" i="41"/>
  <c r="H25" i="41"/>
  <c r="I25" i="41"/>
  <c r="J25" i="41"/>
  <c r="K25" i="41"/>
  <c r="L25" i="41"/>
  <c r="E26" i="41"/>
  <c r="F26" i="41"/>
  <c r="G26" i="41"/>
  <c r="H26" i="41"/>
  <c r="I26" i="41"/>
  <c r="J26" i="41"/>
  <c r="K26" i="41"/>
  <c r="L26" i="41"/>
  <c r="E22" i="41"/>
  <c r="F22" i="41"/>
  <c r="G22" i="41"/>
  <c r="H22" i="41"/>
  <c r="I22" i="41"/>
  <c r="J22" i="41"/>
  <c r="K22" i="41"/>
  <c r="L22" i="41"/>
  <c r="M16" i="41"/>
  <c r="E18" i="41"/>
  <c r="F18" i="41"/>
  <c r="G18" i="41"/>
  <c r="H18" i="41"/>
  <c r="I18" i="41"/>
  <c r="J18" i="41"/>
  <c r="K18" i="41"/>
  <c r="L18" i="41"/>
  <c r="E30" i="41"/>
  <c r="F30" i="41"/>
  <c r="G30" i="41"/>
  <c r="H30" i="41"/>
  <c r="I30" i="41"/>
  <c r="J30" i="41"/>
  <c r="K30" i="41"/>
  <c r="L30" i="41"/>
  <c r="M25" i="41"/>
  <c r="E29" i="41"/>
  <c r="F29" i="41"/>
  <c r="G29" i="41"/>
  <c r="H29" i="41"/>
  <c r="I29" i="41"/>
  <c r="J29" i="41"/>
  <c r="K29" i="41"/>
  <c r="L29" i="41"/>
  <c r="M30" i="41"/>
  <c r="E27" i="41"/>
  <c r="F27" i="41"/>
  <c r="G27" i="41"/>
  <c r="H27" i="41"/>
  <c r="I27" i="41"/>
  <c r="J27" i="41"/>
  <c r="K27" i="41"/>
  <c r="L27" i="41"/>
  <c r="E17" i="41"/>
  <c r="F17" i="41"/>
  <c r="G17" i="41"/>
  <c r="H17" i="41"/>
  <c r="I17" i="41"/>
  <c r="J17" i="41"/>
  <c r="K17" i="41"/>
  <c r="L17" i="41"/>
  <c r="G15" i="41"/>
  <c r="E15" i="41"/>
  <c r="F15" i="41"/>
  <c r="H15" i="41"/>
  <c r="I15" i="41"/>
  <c r="J15" i="41"/>
  <c r="K15" i="41"/>
  <c r="L15" i="41"/>
  <c r="E19" i="41"/>
  <c r="F19" i="41"/>
  <c r="G19" i="41"/>
  <c r="H19" i="41"/>
  <c r="I19" i="41"/>
  <c r="J19" i="41"/>
  <c r="K19" i="41"/>
  <c r="L19" i="41"/>
  <c r="E23" i="41"/>
  <c r="F23" i="41"/>
  <c r="G23" i="41"/>
  <c r="H23" i="41"/>
  <c r="I23" i="41"/>
  <c r="J23" i="41"/>
  <c r="K23" i="41"/>
  <c r="L23" i="41"/>
  <c r="M29" i="41"/>
  <c r="M26" i="41"/>
  <c r="E28" i="41"/>
  <c r="F28" i="41"/>
  <c r="G28" i="41"/>
  <c r="H28" i="41"/>
  <c r="I28" i="41"/>
  <c r="J28" i="41"/>
  <c r="K28" i="41"/>
  <c r="L28" i="41"/>
  <c r="E20" i="41"/>
  <c r="F20" i="41"/>
  <c r="G20" i="41"/>
  <c r="H20" i="41"/>
  <c r="I20" i="41"/>
  <c r="J20" i="41"/>
  <c r="K20" i="41"/>
  <c r="L20" i="41"/>
  <c r="O5" i="41"/>
  <c r="N15" i="41"/>
  <c r="N17" i="41"/>
  <c r="N19" i="41"/>
  <c r="N21" i="41"/>
  <c r="N23" i="41"/>
  <c r="N25" i="41"/>
  <c r="N27" i="41"/>
  <c r="N29" i="41"/>
  <c r="N16" i="41"/>
  <c r="N18" i="41"/>
  <c r="N20" i="41"/>
  <c r="N22" i="41"/>
  <c r="N24" i="41"/>
  <c r="N26" i="41"/>
  <c r="N28" i="41"/>
  <c r="N30" i="41"/>
  <c r="M17" i="6"/>
  <c r="N22" i="87"/>
  <c r="N29" i="87" s="1"/>
  <c r="N24" i="6" s="1"/>
  <c r="P67" i="15" s="1"/>
  <c r="M10" i="6"/>
  <c r="N15" i="87"/>
  <c r="N36" i="6"/>
  <c r="O41" i="87"/>
  <c r="M8" i="6"/>
  <c r="N13" i="87"/>
  <c r="N38" i="6"/>
  <c r="O43" i="87"/>
  <c r="M43" i="6"/>
  <c r="N49" i="87"/>
  <c r="M50" i="6"/>
  <c r="N57" i="87"/>
  <c r="M31" i="6"/>
  <c r="N36" i="87"/>
  <c r="M29" i="6"/>
  <c r="N34" i="87"/>
  <c r="M48" i="6"/>
  <c r="N55" i="87"/>
  <c r="M42" i="6"/>
  <c r="N48" i="87"/>
  <c r="M49" i="6"/>
  <c r="N56" i="87"/>
  <c r="M15" i="6"/>
  <c r="N20" i="87"/>
  <c r="N27" i="87" s="1"/>
  <c r="N22" i="6" s="1"/>
  <c r="M44" i="6"/>
  <c r="N50" i="87"/>
  <c r="M9" i="6"/>
  <c r="N14" i="87"/>
  <c r="M30" i="6"/>
  <c r="N35" i="87"/>
  <c r="N37" i="6"/>
  <c r="O42" i="87"/>
  <c r="M16" i="6"/>
  <c r="N21" i="87"/>
  <c r="N28" i="87" s="1"/>
  <c r="N23" i="6" s="1"/>
  <c r="K170" i="15"/>
  <c r="K12" i="9" s="1"/>
  <c r="L71" i="15"/>
  <c r="L66" i="15"/>
  <c r="K68" i="15"/>
  <c r="K72" i="15"/>
  <c r="L70" i="15"/>
  <c r="L65" i="15"/>
  <c r="M69" i="15"/>
  <c r="P5" i="41" l="1"/>
  <c r="O16" i="41"/>
  <c r="O15" i="41"/>
  <c r="O17" i="41"/>
  <c r="O19" i="41"/>
  <c r="O21" i="41"/>
  <c r="O23" i="41"/>
  <c r="O25" i="41"/>
  <c r="O27" i="41"/>
  <c r="O29" i="41"/>
  <c r="O18" i="41"/>
  <c r="O20" i="41"/>
  <c r="O24" i="41"/>
  <c r="O26" i="41"/>
  <c r="O28" i="41"/>
  <c r="O22" i="41"/>
  <c r="O30" i="41"/>
  <c r="N16" i="6"/>
  <c r="O21" i="87"/>
  <c r="O28" i="87" s="1"/>
  <c r="O23" i="6" s="1"/>
  <c r="N44" i="6"/>
  <c r="O50" i="87"/>
  <c r="N48" i="6"/>
  <c r="O55" i="87"/>
  <c r="N43" i="6"/>
  <c r="O49" i="87"/>
  <c r="N8" i="6"/>
  <c r="O13" i="87"/>
  <c r="O37" i="6"/>
  <c r="P42" i="87"/>
  <c r="N9" i="6"/>
  <c r="O14" i="87"/>
  <c r="N15" i="6"/>
  <c r="O20" i="87"/>
  <c r="O27" i="87" s="1"/>
  <c r="O22" i="6" s="1"/>
  <c r="N42" i="6"/>
  <c r="O48" i="87"/>
  <c r="N29" i="6"/>
  <c r="O34" i="87"/>
  <c r="N50" i="6"/>
  <c r="O57" i="87"/>
  <c r="O38" i="6"/>
  <c r="P43" i="87"/>
  <c r="O36" i="6"/>
  <c r="P41" i="87"/>
  <c r="N17" i="6"/>
  <c r="O22" i="87"/>
  <c r="O29" i="87" s="1"/>
  <c r="O24" i="6" s="1"/>
  <c r="Q67" i="15" s="1"/>
  <c r="N30" i="6"/>
  <c r="O35" i="87"/>
  <c r="N49" i="6"/>
  <c r="O56" i="87"/>
  <c r="N31" i="6"/>
  <c r="O36" i="87"/>
  <c r="N10" i="6"/>
  <c r="O15" i="87"/>
  <c r="L170" i="15"/>
  <c r="L12" i="9" s="1"/>
  <c r="M65" i="15"/>
  <c r="M71" i="15"/>
  <c r="L68" i="15"/>
  <c r="L72" i="15"/>
  <c r="N69" i="15"/>
  <c r="M70" i="15"/>
  <c r="M66" i="15"/>
  <c r="B19" i="1"/>
  <c r="J5" i="8"/>
  <c r="F16" i="3" s="1"/>
  <c r="F23" i="3" s="1"/>
  <c r="P5" i="8"/>
  <c r="L16" i="3" s="1"/>
  <c r="L23" i="3" s="1"/>
  <c r="Q5" i="8"/>
  <c r="M16" i="3" s="1"/>
  <c r="M23" i="3" s="1"/>
  <c r="I5" i="8"/>
  <c r="E16" i="3" s="1"/>
  <c r="E23" i="3" s="1"/>
  <c r="K5" i="8"/>
  <c r="G16" i="3" s="1"/>
  <c r="G23" i="3" s="1"/>
  <c r="L5" i="8"/>
  <c r="H16" i="3" s="1"/>
  <c r="H23" i="3" s="1"/>
  <c r="M5" i="8"/>
  <c r="I16" i="3" s="1"/>
  <c r="I23" i="3" s="1"/>
  <c r="N5" i="8"/>
  <c r="J16" i="3" s="1"/>
  <c r="J23" i="3" s="1"/>
  <c r="O5" i="8"/>
  <c r="K16" i="3" s="1"/>
  <c r="K23" i="3" s="1"/>
  <c r="H5" i="8"/>
  <c r="D16" i="3" s="1"/>
  <c r="J57" i="8"/>
  <c r="O34" i="8" s="1"/>
  <c r="J59" i="8"/>
  <c r="O40" i="8" s="1"/>
  <c r="F59" i="8"/>
  <c r="N40" i="8" s="1"/>
  <c r="B59" i="8"/>
  <c r="M40" i="8" s="1"/>
  <c r="B57" i="8"/>
  <c r="M34" i="8" s="1"/>
  <c r="F57" i="8"/>
  <c r="N34" i="8" s="1"/>
  <c r="J55" i="8"/>
  <c r="O29" i="8" s="1"/>
  <c r="F55" i="8"/>
  <c r="N29" i="8" s="1"/>
  <c r="B55" i="8"/>
  <c r="M29" i="8" s="1"/>
  <c r="L19" i="8"/>
  <c r="L18" i="8"/>
  <c r="L17" i="8"/>
  <c r="L16" i="8"/>
  <c r="L15" i="8"/>
  <c r="A9" i="5" a="1"/>
  <c r="A9" i="5" s="1"/>
  <c r="B20" i="1"/>
  <c r="A20" i="1"/>
  <c r="A19" i="1"/>
  <c r="D17" i="3" l="1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D23" i="3"/>
  <c r="M39" i="8"/>
  <c r="I15" i="3" s="1"/>
  <c r="M41" i="8"/>
  <c r="O28" i="8"/>
  <c r="K13" i="3" s="1"/>
  <c r="O30" i="8"/>
  <c r="N39" i="8"/>
  <c r="J15" i="3" s="1"/>
  <c r="N41" i="8"/>
  <c r="N28" i="8"/>
  <c r="J13" i="3" s="1"/>
  <c r="N30" i="8"/>
  <c r="N35" i="8"/>
  <c r="N33" i="8"/>
  <c r="J14" i="3" s="1"/>
  <c r="O39" i="8"/>
  <c r="K15" i="3" s="1"/>
  <c r="O41" i="8"/>
  <c r="M28" i="8"/>
  <c r="I13" i="3" s="1"/>
  <c r="M30" i="8"/>
  <c r="M33" i="8"/>
  <c r="I14" i="3" s="1"/>
  <c r="M35" i="8"/>
  <c r="O33" i="8"/>
  <c r="K14" i="3" s="1"/>
  <c r="O35" i="8"/>
  <c r="Q5" i="41"/>
  <c r="P16" i="41"/>
  <c r="P18" i="41"/>
  <c r="P20" i="41"/>
  <c r="P22" i="41"/>
  <c r="P24" i="41"/>
  <c r="P26" i="41"/>
  <c r="P28" i="41"/>
  <c r="P30" i="41"/>
  <c r="P15" i="41"/>
  <c r="P17" i="41"/>
  <c r="P19" i="41"/>
  <c r="P21" i="41"/>
  <c r="P23" i="41"/>
  <c r="P25" i="41"/>
  <c r="P27" i="41"/>
  <c r="P29" i="41"/>
  <c r="O49" i="6"/>
  <c r="P56" i="87"/>
  <c r="P38" i="6"/>
  <c r="Q43" i="87"/>
  <c r="O29" i="6"/>
  <c r="P34" i="87"/>
  <c r="P37" i="6"/>
  <c r="Q42" i="87"/>
  <c r="O43" i="6"/>
  <c r="P49" i="87"/>
  <c r="O44" i="6"/>
  <c r="P50" i="87"/>
  <c r="O31" i="6"/>
  <c r="P36" i="87"/>
  <c r="O30" i="6"/>
  <c r="P35" i="87"/>
  <c r="P36" i="6"/>
  <c r="Q41" i="87"/>
  <c r="O50" i="6"/>
  <c r="P57" i="87"/>
  <c r="O42" i="6"/>
  <c r="P48" i="87"/>
  <c r="O9" i="6"/>
  <c r="P14" i="87"/>
  <c r="O8" i="6"/>
  <c r="P13" i="87"/>
  <c r="O48" i="6"/>
  <c r="P55" i="87"/>
  <c r="O16" i="6"/>
  <c r="P21" i="87"/>
  <c r="P28" i="87" s="1"/>
  <c r="P23" i="6" s="1"/>
  <c r="O10" i="6"/>
  <c r="P15" i="87"/>
  <c r="O17" i="6"/>
  <c r="P22" i="87"/>
  <c r="P29" i="87" s="1"/>
  <c r="P24" i="6" s="1"/>
  <c r="R67" i="15" s="1"/>
  <c r="O15" i="6"/>
  <c r="P20" i="87"/>
  <c r="P27" i="87" s="1"/>
  <c r="P22" i="6" s="1"/>
  <c r="N65" i="15"/>
  <c r="M170" i="15"/>
  <c r="M12" i="9" s="1"/>
  <c r="M68" i="15"/>
  <c r="M72" i="15"/>
  <c r="N66" i="15"/>
  <c r="N70" i="15"/>
  <c r="O69" i="15"/>
  <c r="N71" i="15"/>
  <c r="D7" i="41" a="1"/>
  <c r="C45" i="8"/>
  <c r="C46" i="8" s="1"/>
  <c r="C43" i="8"/>
  <c r="C44" i="8" s="1"/>
  <c r="C47" i="8"/>
  <c r="C48" i="8" s="1"/>
  <c r="P34" i="8" l="1"/>
  <c r="P33" i="8" s="1"/>
  <c r="L14" i="3" s="1"/>
  <c r="R5" i="41"/>
  <c r="Q16" i="41"/>
  <c r="Q18" i="41"/>
  <c r="Q20" i="41"/>
  <c r="Q22" i="41"/>
  <c r="Q24" i="41"/>
  <c r="Q26" i="41"/>
  <c r="Q28" i="41"/>
  <c r="Q30" i="41"/>
  <c r="Q15" i="41"/>
  <c r="Q17" i="41"/>
  <c r="Q19" i="41"/>
  <c r="Q23" i="41"/>
  <c r="Q25" i="41"/>
  <c r="Q27" i="41"/>
  <c r="Q21" i="41"/>
  <c r="Q29" i="41"/>
  <c r="P15" i="6"/>
  <c r="Q20" i="87"/>
  <c r="Q27" i="87" s="1"/>
  <c r="Q22" i="6" s="1"/>
  <c r="P48" i="6"/>
  <c r="Q55" i="87"/>
  <c r="P30" i="6"/>
  <c r="Q35" i="87"/>
  <c r="P17" i="6"/>
  <c r="Q22" i="87"/>
  <c r="Q29" i="87" s="1"/>
  <c r="Q24" i="6" s="1"/>
  <c r="S67" i="15" s="1"/>
  <c r="P16" i="6"/>
  <c r="Q21" i="87"/>
  <c r="Q28" i="87" s="1"/>
  <c r="Q23" i="6" s="1"/>
  <c r="P8" i="6"/>
  <c r="Q13" i="87"/>
  <c r="P42" i="6"/>
  <c r="Q48" i="87"/>
  <c r="Q36" i="6"/>
  <c r="R41" i="87"/>
  <c r="P31" i="6"/>
  <c r="Q36" i="87"/>
  <c r="P43" i="6"/>
  <c r="Q49" i="87"/>
  <c r="P29" i="6"/>
  <c r="Q34" i="87"/>
  <c r="P49" i="6"/>
  <c r="Q56" i="87"/>
  <c r="P10" i="6"/>
  <c r="Q15" i="87"/>
  <c r="P9" i="6"/>
  <c r="Q14" i="87"/>
  <c r="P50" i="6"/>
  <c r="Q57" i="87"/>
  <c r="P44" i="6"/>
  <c r="Q50" i="87"/>
  <c r="Q37" i="6"/>
  <c r="R42" i="87"/>
  <c r="Q38" i="6"/>
  <c r="R43" i="87"/>
  <c r="E8" i="41"/>
  <c r="G8" i="41"/>
  <c r="H8" i="41" s="1"/>
  <c r="I8" i="41" s="1"/>
  <c r="J8" i="41" s="1"/>
  <c r="K8" i="41" s="1"/>
  <c r="L8" i="41" s="1"/>
  <c r="M8" i="41" s="1"/>
  <c r="N8" i="41" s="1"/>
  <c r="O8" i="41" s="1"/>
  <c r="P8" i="41" s="1"/>
  <c r="Q8" i="41" s="1"/>
  <c r="R8" i="41" s="1"/>
  <c r="S8" i="41" s="1"/>
  <c r="T8" i="41" s="1"/>
  <c r="U8" i="41" s="1"/>
  <c r="V8" i="41" s="1"/>
  <c r="W8" i="41" s="1"/>
  <c r="N170" i="15"/>
  <c r="N12" i="9" s="1"/>
  <c r="O70" i="15"/>
  <c r="O71" i="15"/>
  <c r="P69" i="15"/>
  <c r="O66" i="15"/>
  <c r="N68" i="15"/>
  <c r="N72" i="15"/>
  <c r="O65" i="15"/>
  <c r="P29" i="8"/>
  <c r="Q29" i="8" s="1"/>
  <c r="P40" i="8"/>
  <c r="Q40" i="8" s="1"/>
  <c r="D7" i="41"/>
  <c r="Q34" i="8"/>
  <c r="O17" i="3"/>
  <c r="P35" i="8" l="1"/>
  <c r="S69" i="15"/>
  <c r="Q39" i="8"/>
  <c r="M15" i="3" s="1"/>
  <c r="Q41" i="8"/>
  <c r="P41" i="8"/>
  <c r="P39" i="8"/>
  <c r="L15" i="3" s="1"/>
  <c r="Q30" i="8"/>
  <c r="Q28" i="8"/>
  <c r="M13" i="3" s="1"/>
  <c r="Q35" i="8"/>
  <c r="Q33" i="8"/>
  <c r="M14" i="3" s="1"/>
  <c r="P30" i="8"/>
  <c r="P28" i="8"/>
  <c r="L13" i="3" s="1"/>
  <c r="S5" i="41"/>
  <c r="R15" i="41"/>
  <c r="R17" i="41"/>
  <c r="R19" i="41"/>
  <c r="R21" i="41"/>
  <c r="R23" i="41"/>
  <c r="R25" i="41"/>
  <c r="R27" i="41"/>
  <c r="R29" i="41"/>
  <c r="R16" i="41"/>
  <c r="R18" i="41"/>
  <c r="R20" i="41"/>
  <c r="R22" i="41"/>
  <c r="R24" i="41"/>
  <c r="R26" i="41"/>
  <c r="R28" i="41"/>
  <c r="R30" i="41"/>
  <c r="R38" i="6"/>
  <c r="S43" i="87"/>
  <c r="Q9" i="6"/>
  <c r="R14" i="87"/>
  <c r="Q43" i="6"/>
  <c r="R49" i="87"/>
  <c r="Q8" i="6"/>
  <c r="R13" i="87"/>
  <c r="Q17" i="6"/>
  <c r="R22" i="87"/>
  <c r="R29" i="87" s="1"/>
  <c r="R24" i="6" s="1"/>
  <c r="T67" i="15" s="1"/>
  <c r="R37" i="6"/>
  <c r="S42" i="87"/>
  <c r="Q50" i="6"/>
  <c r="R57" i="87"/>
  <c r="Q10" i="6"/>
  <c r="R15" i="87"/>
  <c r="Q29" i="6"/>
  <c r="R34" i="87"/>
  <c r="Q31" i="6"/>
  <c r="R36" i="87"/>
  <c r="Q42" i="6"/>
  <c r="R48" i="87"/>
  <c r="Q16" i="6"/>
  <c r="R21" i="87"/>
  <c r="R28" i="87" s="1"/>
  <c r="R23" i="6" s="1"/>
  <c r="Q30" i="6"/>
  <c r="S68" i="15" s="1"/>
  <c r="R35" i="87"/>
  <c r="Q15" i="6"/>
  <c r="R20" i="87"/>
  <c r="R27" i="87" s="1"/>
  <c r="R22" i="6" s="1"/>
  <c r="Q44" i="6"/>
  <c r="R50" i="87"/>
  <c r="Q49" i="6"/>
  <c r="R56" i="87"/>
  <c r="R36" i="6"/>
  <c r="S41" i="87"/>
  <c r="Q48" i="6"/>
  <c r="R55" i="87"/>
  <c r="D8" i="41"/>
  <c r="O170" i="15"/>
  <c r="O12" i="9" s="1"/>
  <c r="P66" i="15"/>
  <c r="P71" i="15"/>
  <c r="P70" i="15"/>
  <c r="O68" i="15"/>
  <c r="O72" i="15"/>
  <c r="P65" i="15"/>
  <c r="Q69" i="15"/>
  <c r="P68" i="15"/>
  <c r="R34" i="8"/>
  <c r="R40" i="8"/>
  <c r="R29" i="8"/>
  <c r="P17" i="3"/>
  <c r="D78" i="15" a="1"/>
  <c r="D78" i="15" s="1"/>
  <c r="D12" i="3" a="1"/>
  <c r="D12" i="3" s="1"/>
  <c r="Z78" i="15" a="1"/>
  <c r="Z78" i="15" s="1"/>
  <c r="D12" i="35" a="1"/>
  <c r="D12" i="35" s="1"/>
  <c r="D14" i="41" a="1"/>
  <c r="D14" i="41" s="1"/>
  <c r="Z8" i="5" a="1"/>
  <c r="Z8" i="5" s="1"/>
  <c r="D33" i="3" a="1"/>
  <c r="D33" i="3" s="1"/>
  <c r="D37" i="35" a="1"/>
  <c r="D37" i="35" s="1"/>
  <c r="D8" i="5" a="1"/>
  <c r="D8" i="5" s="1"/>
  <c r="Z37" i="35" a="1"/>
  <c r="Z37" i="35" s="1"/>
  <c r="D169" i="15" a="1"/>
  <c r="D169" i="15" s="1"/>
  <c r="D102" i="15" a="1"/>
  <c r="D102" i="15" s="1"/>
  <c r="Z12" i="35" a="1"/>
  <c r="Z12" i="35" s="1"/>
  <c r="T69" i="15" l="1"/>
  <c r="S65" i="15"/>
  <c r="S70" i="15"/>
  <c r="S66" i="15"/>
  <c r="S71" i="15"/>
  <c r="R35" i="8"/>
  <c r="R33" i="8"/>
  <c r="N14" i="3" s="1"/>
  <c r="R28" i="8"/>
  <c r="N13" i="3" s="1"/>
  <c r="R30" i="8"/>
  <c r="R39" i="8"/>
  <c r="N15" i="3" s="1"/>
  <c r="R41" i="8"/>
  <c r="T5" i="41"/>
  <c r="S18" i="41"/>
  <c r="S15" i="41"/>
  <c r="S17" i="41"/>
  <c r="S19" i="41"/>
  <c r="S21" i="41"/>
  <c r="S23" i="41"/>
  <c r="S25" i="41"/>
  <c r="S27" i="41"/>
  <c r="S29" i="41"/>
  <c r="S16" i="41"/>
  <c r="S20" i="41"/>
  <c r="S22" i="41"/>
  <c r="S30" i="41"/>
  <c r="S24" i="41"/>
  <c r="S26" i="41"/>
  <c r="S28" i="41"/>
  <c r="R49" i="6"/>
  <c r="S56" i="87"/>
  <c r="R16" i="6"/>
  <c r="S21" i="87"/>
  <c r="S28" i="87" s="1"/>
  <c r="S23" i="6" s="1"/>
  <c r="R10" i="6"/>
  <c r="S15" i="87"/>
  <c r="S37" i="6"/>
  <c r="T42" i="87"/>
  <c r="R9" i="6"/>
  <c r="S14" i="87"/>
  <c r="S36" i="6"/>
  <c r="T41" i="87"/>
  <c r="R44" i="6"/>
  <c r="S50" i="87"/>
  <c r="R30" i="6"/>
  <c r="S35" i="87"/>
  <c r="R42" i="6"/>
  <c r="S48" i="87"/>
  <c r="R29" i="6"/>
  <c r="S34" i="87"/>
  <c r="R50" i="6"/>
  <c r="S57" i="87"/>
  <c r="R17" i="6"/>
  <c r="S22" i="87"/>
  <c r="S29" i="87" s="1"/>
  <c r="S24" i="6" s="1"/>
  <c r="U67" i="15" s="1"/>
  <c r="R43" i="6"/>
  <c r="T70" i="15" s="1"/>
  <c r="S49" i="87"/>
  <c r="S38" i="6"/>
  <c r="T43" i="87"/>
  <c r="R48" i="6"/>
  <c r="S55" i="87"/>
  <c r="R15" i="6"/>
  <c r="S20" i="87"/>
  <c r="S27" i="87" s="1"/>
  <c r="S22" i="6" s="1"/>
  <c r="R31" i="6"/>
  <c r="S36" i="87"/>
  <c r="R8" i="6"/>
  <c r="S13" i="87"/>
  <c r="P170" i="15"/>
  <c r="P12" i="9" s="1"/>
  <c r="Q65" i="15"/>
  <c r="Q66" i="15"/>
  <c r="Q68" i="15"/>
  <c r="Q70" i="15"/>
  <c r="Q71" i="15"/>
  <c r="S34" i="8"/>
  <c r="S40" i="8"/>
  <c r="S29" i="8"/>
  <c r="Q17" i="3"/>
  <c r="T66" i="15" l="1"/>
  <c r="T170" i="15" s="1"/>
  <c r="T12" i="9" s="1"/>
  <c r="E25" i="3"/>
  <c r="F25" i="3" s="1"/>
  <c r="G25" i="3" s="1"/>
  <c r="H25" i="3" s="1"/>
  <c r="I25" i="3" s="1"/>
  <c r="J25" i="3" s="1"/>
  <c r="K25" i="3" s="1"/>
  <c r="L25" i="3" s="1"/>
  <c r="M25" i="3" s="1"/>
  <c r="S170" i="15"/>
  <c r="S12" i="9" s="1"/>
  <c r="T71" i="15"/>
  <c r="T65" i="15"/>
  <c r="T68" i="15"/>
  <c r="U69" i="15"/>
  <c r="S30" i="8"/>
  <c r="S28" i="8"/>
  <c r="O13" i="3" s="1"/>
  <c r="S35" i="8"/>
  <c r="S33" i="8"/>
  <c r="O14" i="3" s="1"/>
  <c r="S41" i="8"/>
  <c r="S39" i="8"/>
  <c r="O15" i="3" s="1"/>
  <c r="U5" i="41"/>
  <c r="T16" i="41"/>
  <c r="T18" i="41"/>
  <c r="T20" i="41"/>
  <c r="T22" i="41"/>
  <c r="T24" i="41"/>
  <c r="T26" i="41"/>
  <c r="T28" i="41"/>
  <c r="T30" i="41"/>
  <c r="T15" i="41"/>
  <c r="T17" i="41"/>
  <c r="T19" i="41"/>
  <c r="T21" i="41"/>
  <c r="T23" i="41"/>
  <c r="T25" i="41"/>
  <c r="T27" i="41"/>
  <c r="T29" i="41"/>
  <c r="S8" i="6"/>
  <c r="T13" i="87"/>
  <c r="T38" i="6"/>
  <c r="U43" i="87"/>
  <c r="U38" i="6" s="1"/>
  <c r="S30" i="6"/>
  <c r="T35" i="87"/>
  <c r="T37" i="6"/>
  <c r="U42" i="87"/>
  <c r="U37" i="6" s="1"/>
  <c r="S31" i="6"/>
  <c r="T36" i="87"/>
  <c r="S48" i="6"/>
  <c r="T55" i="87"/>
  <c r="S43" i="6"/>
  <c r="T49" i="87"/>
  <c r="S50" i="6"/>
  <c r="T57" i="87"/>
  <c r="S42" i="6"/>
  <c r="T48" i="87"/>
  <c r="S44" i="6"/>
  <c r="T50" i="87"/>
  <c r="S9" i="6"/>
  <c r="T14" i="87"/>
  <c r="S10" i="6"/>
  <c r="T15" i="87"/>
  <c r="S49" i="6"/>
  <c r="U71" i="15" s="1"/>
  <c r="T56" i="87"/>
  <c r="S15" i="6"/>
  <c r="T20" i="87"/>
  <c r="T27" i="87" s="1"/>
  <c r="T22" i="6" s="1"/>
  <c r="S17" i="6"/>
  <c r="T22" i="87"/>
  <c r="T29" i="87" s="1"/>
  <c r="T24" i="6" s="1"/>
  <c r="V67" i="15" s="1"/>
  <c r="S29" i="6"/>
  <c r="T34" i="87"/>
  <c r="T36" i="6"/>
  <c r="U41" i="87"/>
  <c r="S16" i="6"/>
  <c r="T21" i="87"/>
  <c r="T28" i="87" s="1"/>
  <c r="T23" i="6" s="1"/>
  <c r="Q170" i="15"/>
  <c r="Q12" i="9" s="1"/>
  <c r="T34" i="8"/>
  <c r="T40" i="8"/>
  <c r="T29" i="8"/>
  <c r="R17" i="3"/>
  <c r="U66" i="15" l="1"/>
  <c r="N25" i="3"/>
  <c r="U65" i="15"/>
  <c r="U70" i="15"/>
  <c r="U170" i="15" s="1"/>
  <c r="U12" i="9" s="1"/>
  <c r="U68" i="15"/>
  <c r="V69" i="15"/>
  <c r="T41" i="8"/>
  <c r="T39" i="8"/>
  <c r="P15" i="3" s="1"/>
  <c r="T33" i="8"/>
  <c r="P14" i="3" s="1"/>
  <c r="T35" i="8"/>
  <c r="T30" i="8"/>
  <c r="T28" i="8"/>
  <c r="P13" i="3" s="1"/>
  <c r="V5" i="41"/>
  <c r="U15" i="41"/>
  <c r="U17" i="41"/>
  <c r="U19" i="41"/>
  <c r="U16" i="41"/>
  <c r="U18" i="41"/>
  <c r="U20" i="41"/>
  <c r="U22" i="41"/>
  <c r="U24" i="41"/>
  <c r="U26" i="41"/>
  <c r="U28" i="41"/>
  <c r="U30" i="41"/>
  <c r="U21" i="41"/>
  <c r="U29" i="41"/>
  <c r="U27" i="41"/>
  <c r="U23" i="41"/>
  <c r="U25" i="41"/>
  <c r="T16" i="6"/>
  <c r="U21" i="87"/>
  <c r="T29" i="6"/>
  <c r="U34" i="87"/>
  <c r="T15" i="6"/>
  <c r="U20" i="87"/>
  <c r="U27" i="87" s="1"/>
  <c r="U22" i="6" s="1"/>
  <c r="T10" i="6"/>
  <c r="U15" i="87"/>
  <c r="U10" i="6" s="1"/>
  <c r="T44" i="6"/>
  <c r="U50" i="87"/>
  <c r="U44" i="6" s="1"/>
  <c r="T50" i="6"/>
  <c r="U57" i="87"/>
  <c r="U50" i="6" s="1"/>
  <c r="T48" i="6"/>
  <c r="U55" i="87"/>
  <c r="R69" i="15"/>
  <c r="U36" i="6"/>
  <c r="W69" i="15" s="1"/>
  <c r="T17" i="6"/>
  <c r="U22" i="87"/>
  <c r="T49" i="6"/>
  <c r="U56" i="87"/>
  <c r="U49" i="6" s="1"/>
  <c r="T9" i="6"/>
  <c r="U14" i="87"/>
  <c r="U9" i="6" s="1"/>
  <c r="T42" i="6"/>
  <c r="U48" i="87"/>
  <c r="T43" i="6"/>
  <c r="U49" i="87"/>
  <c r="U43" i="6" s="1"/>
  <c r="T31" i="6"/>
  <c r="U36" i="87"/>
  <c r="U31" i="6" s="1"/>
  <c r="T30" i="6"/>
  <c r="U35" i="87"/>
  <c r="U30" i="6" s="1"/>
  <c r="T8" i="6"/>
  <c r="U13" i="87"/>
  <c r="U34" i="8"/>
  <c r="U40" i="8"/>
  <c r="U29" i="8"/>
  <c r="S17" i="3"/>
  <c r="U16" i="6" l="1"/>
  <c r="U28" i="87"/>
  <c r="U23" i="6" s="1"/>
  <c r="U17" i="6"/>
  <c r="U29" i="87"/>
  <c r="U24" i="6" s="1"/>
  <c r="W67" i="15" s="1"/>
  <c r="V68" i="15"/>
  <c r="O25" i="3"/>
  <c r="V65" i="15"/>
  <c r="V70" i="15"/>
  <c r="V71" i="15"/>
  <c r="V66" i="15"/>
  <c r="W68" i="15"/>
  <c r="U33" i="8"/>
  <c r="Q14" i="3" s="1"/>
  <c r="U35" i="8"/>
  <c r="U41" i="8"/>
  <c r="U39" i="8"/>
  <c r="Q15" i="3" s="1"/>
  <c r="U30" i="8"/>
  <c r="U28" i="8"/>
  <c r="Q13" i="3" s="1"/>
  <c r="W5" i="41"/>
  <c r="V15" i="41"/>
  <c r="V17" i="41"/>
  <c r="V19" i="41"/>
  <c r="V21" i="41"/>
  <c r="V23" i="41"/>
  <c r="V25" i="41"/>
  <c r="V27" i="41"/>
  <c r="V29" i="41"/>
  <c r="V16" i="41"/>
  <c r="V18" i="41"/>
  <c r="V20" i="41"/>
  <c r="V22" i="41"/>
  <c r="V24" i="41"/>
  <c r="V26" i="41"/>
  <c r="V28" i="41"/>
  <c r="V30" i="41"/>
  <c r="R68" i="15"/>
  <c r="U29" i="6"/>
  <c r="R71" i="15"/>
  <c r="U48" i="6"/>
  <c r="W71" i="15" s="1"/>
  <c r="R66" i="15"/>
  <c r="U15" i="6"/>
  <c r="W66" i="15" s="1"/>
  <c r="R65" i="15"/>
  <c r="U8" i="6"/>
  <c r="W65" i="15" s="1"/>
  <c r="R70" i="15"/>
  <c r="U42" i="6"/>
  <c r="W70" i="15" s="1"/>
  <c r="V34" i="8"/>
  <c r="V40" i="8"/>
  <c r="V29" i="8"/>
  <c r="T17" i="3"/>
  <c r="P25" i="3" l="1"/>
  <c r="V170" i="15"/>
  <c r="V12" i="9" s="1"/>
  <c r="W170" i="15"/>
  <c r="W12" i="9" s="1"/>
  <c r="V39" i="8"/>
  <c r="R15" i="3" s="1"/>
  <c r="V41" i="8"/>
  <c r="V28" i="8"/>
  <c r="R13" i="3" s="1"/>
  <c r="V30" i="8"/>
  <c r="V35" i="8"/>
  <c r="V33" i="8"/>
  <c r="R14" i="3" s="1"/>
  <c r="W15" i="41"/>
  <c r="W17" i="41"/>
  <c r="W19" i="41"/>
  <c r="W21" i="41"/>
  <c r="W23" i="41"/>
  <c r="W25" i="41"/>
  <c r="W27" i="41"/>
  <c r="W29" i="41"/>
  <c r="W16" i="41"/>
  <c r="W18" i="41"/>
  <c r="W28" i="41"/>
  <c r="W20" i="41"/>
  <c r="W22" i="41"/>
  <c r="W30" i="41"/>
  <c r="W26" i="41"/>
  <c r="W24" i="41"/>
  <c r="R170" i="15"/>
  <c r="R12" i="9" s="1"/>
  <c r="W40" i="8"/>
  <c r="W34" i="8"/>
  <c r="W29" i="8"/>
  <c r="U17" i="3"/>
  <c r="Q25" i="3" l="1"/>
  <c r="W39" i="8"/>
  <c r="S15" i="3" s="1"/>
  <c r="W41" i="8"/>
  <c r="W28" i="8"/>
  <c r="S13" i="3" s="1"/>
  <c r="W30" i="8"/>
  <c r="W33" i="8"/>
  <c r="S14" i="3" s="1"/>
  <c r="W35" i="8"/>
  <c r="X40" i="8"/>
  <c r="X34" i="8"/>
  <c r="X29" i="8"/>
  <c r="V17" i="3"/>
  <c r="R25" i="3" l="1"/>
  <c r="X41" i="8"/>
  <c r="X39" i="8"/>
  <c r="T15" i="3" s="1"/>
  <c r="X30" i="8"/>
  <c r="X28" i="8"/>
  <c r="T13" i="3" s="1"/>
  <c r="X33" i="8"/>
  <c r="T14" i="3" s="1"/>
  <c r="X35" i="8"/>
  <c r="Y34" i="8"/>
  <c r="Y40" i="8"/>
  <c r="Y29" i="8"/>
  <c r="W17" i="3"/>
  <c r="S25" i="3" l="1"/>
  <c r="Y35" i="8"/>
  <c r="Y33" i="8"/>
  <c r="U14" i="3" s="1"/>
  <c r="Y41" i="8"/>
  <c r="Y39" i="8"/>
  <c r="U15" i="3" s="1"/>
  <c r="Y30" i="8"/>
  <c r="Y28" i="8"/>
  <c r="U13" i="3" s="1"/>
  <c r="Z40" i="8"/>
  <c r="Z34" i="8"/>
  <c r="Z29" i="8"/>
  <c r="T25" i="3" l="1"/>
  <c r="Z35" i="8"/>
  <c r="Z33" i="8"/>
  <c r="V14" i="3" s="1"/>
  <c r="Z39" i="8"/>
  <c r="V15" i="3" s="1"/>
  <c r="Z41" i="8"/>
  <c r="Z28" i="8"/>
  <c r="V13" i="3" s="1"/>
  <c r="Z30" i="8"/>
  <c r="AA34" i="8"/>
  <c r="AA40" i="8"/>
  <c r="AA29" i="8"/>
  <c r="U25" i="3" l="1"/>
  <c r="AA39" i="8"/>
  <c r="W15" i="3" s="1"/>
  <c r="AA41" i="8"/>
  <c r="AA30" i="8"/>
  <c r="AA28" i="8"/>
  <c r="W13" i="3" s="1"/>
  <c r="AA35" i="8"/>
  <c r="AA33" i="8"/>
  <c r="W14" i="3" s="1"/>
  <c r="V25" i="3" l="1"/>
  <c r="W25" i="3" s="1"/>
  <c r="D79" i="15" a="1"/>
  <c r="H96" i="15" l="1"/>
  <c r="I96" i="15"/>
  <c r="Q96" i="15"/>
  <c r="L96" i="15"/>
  <c r="J96" i="15"/>
  <c r="R96" i="15"/>
  <c r="D96" i="15"/>
  <c r="O96" i="15"/>
  <c r="K96" i="15"/>
  <c r="S96" i="15"/>
  <c r="T96" i="15"/>
  <c r="V96" i="15"/>
  <c r="P96" i="15"/>
  <c r="E96" i="15"/>
  <c r="M96" i="15"/>
  <c r="U96" i="15"/>
  <c r="F96" i="15"/>
  <c r="N96" i="15"/>
  <c r="G96" i="15"/>
  <c r="W96" i="15"/>
  <c r="D79" i="15"/>
  <c r="E90" i="15"/>
  <c r="M90" i="15"/>
  <c r="U90" i="15"/>
  <c r="J91" i="15"/>
  <c r="R91" i="15"/>
  <c r="G92" i="15"/>
  <c r="O92" i="15"/>
  <c r="W92" i="15"/>
  <c r="L93" i="15"/>
  <c r="T93" i="15"/>
  <c r="I94" i="15"/>
  <c r="Q94" i="15"/>
  <c r="F95" i="15"/>
  <c r="N95" i="15"/>
  <c r="V95" i="15"/>
  <c r="H93" i="15"/>
  <c r="E94" i="15"/>
  <c r="G91" i="15"/>
  <c r="W91" i="15"/>
  <c r="T92" i="15"/>
  <c r="I93" i="15"/>
  <c r="V94" i="15"/>
  <c r="K95" i="15"/>
  <c r="S95" i="15"/>
  <c r="F90" i="15"/>
  <c r="N90" i="15"/>
  <c r="V90" i="15"/>
  <c r="K91" i="15"/>
  <c r="S91" i="15"/>
  <c r="H92" i="15"/>
  <c r="P92" i="15"/>
  <c r="E93" i="15"/>
  <c r="M93" i="15"/>
  <c r="U93" i="15"/>
  <c r="J94" i="15"/>
  <c r="R94" i="15"/>
  <c r="G95" i="15"/>
  <c r="O95" i="15"/>
  <c r="W95" i="15"/>
  <c r="K92" i="15"/>
  <c r="P93" i="15"/>
  <c r="R95" i="15"/>
  <c r="R90" i="15"/>
  <c r="O91" i="15"/>
  <c r="L92" i="15"/>
  <c r="N94" i="15"/>
  <c r="S90" i="15"/>
  <c r="M92" i="15"/>
  <c r="G90" i="15"/>
  <c r="O90" i="15"/>
  <c r="W90" i="15"/>
  <c r="L91" i="15"/>
  <c r="T91" i="15"/>
  <c r="I92" i="15"/>
  <c r="Q92" i="15"/>
  <c r="F93" i="15"/>
  <c r="N93" i="15"/>
  <c r="V93" i="15"/>
  <c r="K94" i="15"/>
  <c r="S94" i="15"/>
  <c r="H95" i="15"/>
  <c r="P95" i="15"/>
  <c r="D92" i="15"/>
  <c r="H90" i="15"/>
  <c r="P90" i="15"/>
  <c r="E91" i="15"/>
  <c r="M91" i="15"/>
  <c r="U91" i="15"/>
  <c r="J92" i="15"/>
  <c r="R92" i="15"/>
  <c r="G93" i="15"/>
  <c r="O93" i="15"/>
  <c r="W93" i="15"/>
  <c r="L94" i="15"/>
  <c r="T94" i="15"/>
  <c r="I95" i="15"/>
  <c r="Q95" i="15"/>
  <c r="D93" i="15"/>
  <c r="I90" i="15"/>
  <c r="Q90" i="15"/>
  <c r="F91" i="15"/>
  <c r="N91" i="15"/>
  <c r="V91" i="15"/>
  <c r="S92" i="15"/>
  <c r="M94" i="15"/>
  <c r="U94" i="15"/>
  <c r="J95" i="15"/>
  <c r="D94" i="15"/>
  <c r="Q93" i="15"/>
  <c r="F94" i="15"/>
  <c r="D95" i="15"/>
  <c r="K90" i="15"/>
  <c r="H91" i="15"/>
  <c r="P91" i="15"/>
  <c r="J90" i="15"/>
  <c r="L90" i="15"/>
  <c r="T90" i="15"/>
  <c r="I91" i="15"/>
  <c r="Q91" i="15"/>
  <c r="F92" i="15"/>
  <c r="N92" i="15"/>
  <c r="V92" i="15"/>
  <c r="K93" i="15"/>
  <c r="S93" i="15"/>
  <c r="H94" i="15"/>
  <c r="P94" i="15"/>
  <c r="E95" i="15"/>
  <c r="M95" i="15"/>
  <c r="U95" i="15"/>
  <c r="E92" i="15"/>
  <c r="U92" i="15"/>
  <c r="O94" i="15"/>
  <c r="W94" i="15"/>
  <c r="R93" i="15"/>
  <c r="G94" i="15"/>
  <c r="D91" i="15"/>
  <c r="J93" i="15"/>
  <c r="L95" i="15"/>
  <c r="T95" i="15"/>
  <c r="D103" i="15" a="1"/>
  <c r="E111" i="15" l="1"/>
  <c r="AA111" i="15" s="1"/>
  <c r="M111" i="15"/>
  <c r="AI111" i="15" s="1"/>
  <c r="U111" i="15"/>
  <c r="AQ111" i="15" s="1"/>
  <c r="F111" i="15"/>
  <c r="AB111" i="15" s="1"/>
  <c r="N111" i="15"/>
  <c r="AJ111" i="15" s="1"/>
  <c r="V111" i="15"/>
  <c r="AR111" i="15" s="1"/>
  <c r="G111" i="15"/>
  <c r="AC111" i="15" s="1"/>
  <c r="O111" i="15"/>
  <c r="AK111" i="15" s="1"/>
  <c r="W111" i="15"/>
  <c r="AS111" i="15" s="1"/>
  <c r="H111" i="15"/>
  <c r="AD111" i="15" s="1"/>
  <c r="P111" i="15"/>
  <c r="AL111" i="15" s="1"/>
  <c r="I111" i="15"/>
  <c r="AE111" i="15" s="1"/>
  <c r="Q111" i="15"/>
  <c r="AM111" i="15" s="1"/>
  <c r="J111" i="15"/>
  <c r="AF111" i="15" s="1"/>
  <c r="R111" i="15"/>
  <c r="AN111" i="15" s="1"/>
  <c r="K111" i="15"/>
  <c r="AG111" i="15" s="1"/>
  <c r="S111" i="15"/>
  <c r="AO111" i="15" s="1"/>
  <c r="L111" i="15"/>
  <c r="T111" i="15"/>
  <c r="AP111" i="15" s="1"/>
  <c r="F116" i="15"/>
  <c r="D122" i="15"/>
  <c r="L122" i="15"/>
  <c r="T122" i="15"/>
  <c r="E122" i="15"/>
  <c r="M122" i="15"/>
  <c r="U122" i="15"/>
  <c r="S122" i="15"/>
  <c r="F122" i="15"/>
  <c r="N122" i="15"/>
  <c r="V122" i="15"/>
  <c r="G122" i="15"/>
  <c r="O122" i="15"/>
  <c r="W122" i="15"/>
  <c r="P122" i="15"/>
  <c r="K122" i="15"/>
  <c r="H122" i="15"/>
  <c r="I122" i="15"/>
  <c r="Q122" i="15"/>
  <c r="J122" i="15"/>
  <c r="R122" i="15"/>
  <c r="D145" i="15" a="1"/>
  <c r="D90" i="15"/>
  <c r="D157" i="15" s="1" a="1"/>
  <c r="R116" i="15"/>
  <c r="J117" i="15"/>
  <c r="J116" i="15"/>
  <c r="I117" i="15"/>
  <c r="P116" i="15"/>
  <c r="H116" i="15"/>
  <c r="J118" i="15"/>
  <c r="J121" i="15"/>
  <c r="V117" i="15"/>
  <c r="H121" i="15"/>
  <c r="T117" i="15"/>
  <c r="S117" i="15"/>
  <c r="D117" i="15"/>
  <c r="P117" i="15"/>
  <c r="Q120" i="15"/>
  <c r="W118" i="15"/>
  <c r="K116" i="15"/>
  <c r="P120" i="15"/>
  <c r="V118" i="15"/>
  <c r="S121" i="15"/>
  <c r="H119" i="15"/>
  <c r="N117" i="15"/>
  <c r="Q121" i="15"/>
  <c r="W119" i="15"/>
  <c r="F119" i="15"/>
  <c r="L117" i="15"/>
  <c r="E119" i="15"/>
  <c r="K117" i="15"/>
  <c r="M118" i="15"/>
  <c r="P119" i="15"/>
  <c r="M119" i="15"/>
  <c r="AH111" i="15"/>
  <c r="D120" i="15"/>
  <c r="I120" i="15"/>
  <c r="O118" i="15"/>
  <c r="U116" i="15"/>
  <c r="H120" i="15"/>
  <c r="N118" i="15"/>
  <c r="T116" i="15"/>
  <c r="K121" i="15"/>
  <c r="Q119" i="15"/>
  <c r="W117" i="15"/>
  <c r="O120" i="15"/>
  <c r="F117" i="15"/>
  <c r="I121" i="15"/>
  <c r="O119" i="15"/>
  <c r="U117" i="15"/>
  <c r="U118" i="15"/>
  <c r="D121" i="15"/>
  <c r="G118" i="15"/>
  <c r="M116" i="15"/>
  <c r="F118" i="15"/>
  <c r="L116" i="15"/>
  <c r="I119" i="15"/>
  <c r="O117" i="15"/>
  <c r="U120" i="15"/>
  <c r="G119" i="15"/>
  <c r="M117" i="15"/>
  <c r="E118" i="15"/>
  <c r="S120" i="15"/>
  <c r="H117" i="15"/>
  <c r="R120" i="15"/>
  <c r="L118" i="15"/>
  <c r="P121" i="15"/>
  <c r="V119" i="15"/>
  <c r="U119" i="15"/>
  <c r="D119" i="15"/>
  <c r="N119" i="15"/>
  <c r="G121" i="15"/>
  <c r="D118" i="15"/>
  <c r="V121" i="15"/>
  <c r="E116" i="15"/>
  <c r="U121" i="15"/>
  <c r="L121" i="15"/>
  <c r="G117" i="15"/>
  <c r="S116" i="15"/>
  <c r="M120" i="15"/>
  <c r="S118" i="15"/>
  <c r="E117" i="15"/>
  <c r="K120" i="15"/>
  <c r="Q118" i="15"/>
  <c r="W116" i="15"/>
  <c r="J120" i="15"/>
  <c r="P118" i="15"/>
  <c r="V116" i="15"/>
  <c r="F120" i="15"/>
  <c r="O121" i="15"/>
  <c r="T121" i="15"/>
  <c r="T119" i="15"/>
  <c r="W120" i="15"/>
  <c r="S119" i="15"/>
  <c r="V120" i="15"/>
  <c r="E120" i="15"/>
  <c r="K118" i="15"/>
  <c r="Q116" i="15"/>
  <c r="T120" i="15"/>
  <c r="I118" i="15"/>
  <c r="O116" i="15"/>
  <c r="H118" i="15"/>
  <c r="N116" i="15"/>
  <c r="R121" i="15"/>
  <c r="D103" i="15"/>
  <c r="D111" i="15" s="1"/>
  <c r="N121" i="15"/>
  <c r="M121" i="15"/>
  <c r="J119" i="15"/>
  <c r="G120" i="15"/>
  <c r="F121" i="15"/>
  <c r="L119" i="15"/>
  <c r="R117" i="15"/>
  <c r="R119" i="15"/>
  <c r="E121" i="15"/>
  <c r="K119" i="15"/>
  <c r="Q117" i="15"/>
  <c r="N120" i="15"/>
  <c r="T118" i="15"/>
  <c r="I116" i="15"/>
  <c r="L120" i="15"/>
  <c r="R118" i="15"/>
  <c r="G116" i="15"/>
  <c r="W121" i="15"/>
  <c r="E124" i="15" l="1"/>
  <c r="V124" i="15"/>
  <c r="AR124" i="15" s="1"/>
  <c r="S124" i="15"/>
  <c r="AO124" i="15" s="1"/>
  <c r="I124" i="15"/>
  <c r="O124" i="15"/>
  <c r="H124" i="15"/>
  <c r="AD124" i="15" s="1"/>
  <c r="W124" i="15"/>
  <c r="AS124" i="15" s="1"/>
  <c r="L124" i="15"/>
  <c r="AH124" i="15" s="1"/>
  <c r="T124" i="15"/>
  <c r="AP124" i="15" s="1"/>
  <c r="P124" i="15"/>
  <c r="J124" i="15"/>
  <c r="AF124" i="15" s="1"/>
  <c r="U124" i="15"/>
  <c r="AQ124" i="15" s="1"/>
  <c r="F124" i="15"/>
  <c r="Q124" i="15"/>
  <c r="AM124" i="15" s="1"/>
  <c r="M124" i="15"/>
  <c r="AI124" i="15" s="1"/>
  <c r="K124" i="15"/>
  <c r="AG124" i="15" s="1"/>
  <c r="G124" i="15"/>
  <c r="AC124" i="15" s="1"/>
  <c r="R124" i="15"/>
  <c r="AN124" i="15" s="1"/>
  <c r="N124" i="15"/>
  <c r="AJ124" i="15" s="1"/>
  <c r="D157" i="15"/>
  <c r="D165" i="15" s="1"/>
  <c r="L165" i="15"/>
  <c r="T165" i="15"/>
  <c r="AP165" i="15" s="1"/>
  <c r="E165" i="15"/>
  <c r="M165" i="15"/>
  <c r="U165" i="15"/>
  <c r="AQ165" i="15" s="1"/>
  <c r="P165" i="15"/>
  <c r="AL165" i="15" s="1"/>
  <c r="F165" i="15"/>
  <c r="N165" i="15"/>
  <c r="AJ165" i="15" s="1"/>
  <c r="V165" i="15"/>
  <c r="AR165" i="15" s="1"/>
  <c r="G165" i="15"/>
  <c r="O165" i="15"/>
  <c r="AK165" i="15" s="1"/>
  <c r="W165" i="15"/>
  <c r="AS165" i="15" s="1"/>
  <c r="H165" i="15"/>
  <c r="I165" i="15"/>
  <c r="Q165" i="15"/>
  <c r="AM165" i="15" s="1"/>
  <c r="K165" i="15"/>
  <c r="J165" i="15"/>
  <c r="R165" i="15"/>
  <c r="AN165" i="15" s="1"/>
  <c r="S165" i="15"/>
  <c r="AO165" i="15" s="1"/>
  <c r="D145" i="15"/>
  <c r="D153" i="15" s="1"/>
  <c r="H153" i="15"/>
  <c r="P153" i="15"/>
  <c r="L153" i="15"/>
  <c r="I153" i="15"/>
  <c r="Q153" i="15"/>
  <c r="J153" i="15"/>
  <c r="R153" i="15"/>
  <c r="K153" i="15"/>
  <c r="S153" i="15"/>
  <c r="T153" i="15"/>
  <c r="E153" i="15"/>
  <c r="M153" i="15"/>
  <c r="U153" i="15"/>
  <c r="G153" i="15"/>
  <c r="O153" i="15"/>
  <c r="F153" i="15"/>
  <c r="N153" i="15"/>
  <c r="V153" i="15"/>
  <c r="W153" i="15"/>
  <c r="AE124" i="15"/>
  <c r="AK124" i="15"/>
  <c r="D116" i="15"/>
  <c r="D15" i="35" a="1"/>
  <c r="AB124" i="15"/>
  <c r="AL124" i="15"/>
  <c r="AA124" i="15"/>
  <c r="H40" i="35" l="1"/>
  <c r="G40" i="35"/>
  <c r="K40" i="35"/>
  <c r="I40" i="35"/>
  <c r="J40" i="35"/>
  <c r="F40" i="35"/>
  <c r="D130" i="15" a="1"/>
  <c r="D124" i="15"/>
  <c r="Z124" i="15" s="1"/>
  <c r="Z111" i="15"/>
  <c r="Z28" i="35" s="1" a="1"/>
  <c r="Z28" i="35" s="1"/>
  <c r="Z53" i="35" s="1"/>
  <c r="AF53" i="35" s="1"/>
  <c r="D28" i="35" a="1"/>
  <c r="D27" i="35" a="1"/>
  <c r="D16" i="35" a="1"/>
  <c r="Z153" i="15"/>
  <c r="AP153" i="15"/>
  <c r="AH153" i="15"/>
  <c r="AO153" i="15"/>
  <c r="AG153" i="15"/>
  <c r="AN153" i="15"/>
  <c r="AF153" i="15"/>
  <c r="AL153" i="15"/>
  <c r="AI153" i="15"/>
  <c r="AM153" i="15"/>
  <c r="AE153" i="15"/>
  <c r="AD153" i="15"/>
  <c r="AS153" i="15"/>
  <c r="AK153" i="15"/>
  <c r="AC153" i="15"/>
  <c r="AR153" i="15"/>
  <c r="AJ153" i="15"/>
  <c r="AB153" i="15"/>
  <c r="AQ153" i="15"/>
  <c r="AA153" i="15"/>
  <c r="AD165" i="15"/>
  <c r="AE165" i="15"/>
  <c r="AF165" i="15"/>
  <c r="AG165" i="15"/>
  <c r="AH165" i="15"/>
  <c r="AA165" i="15"/>
  <c r="AI165" i="15"/>
  <c r="AB165" i="15"/>
  <c r="AC165" i="15"/>
  <c r="D15" i="35"/>
  <c r="D40" i="35" s="1"/>
  <c r="K53" i="35" l="1"/>
  <c r="G53" i="35"/>
  <c r="I53" i="35"/>
  <c r="F53" i="35"/>
  <c r="H53" i="35"/>
  <c r="J53" i="35"/>
  <c r="E40" i="35"/>
  <c r="D27" i="35"/>
  <c r="D52" i="35" s="1"/>
  <c r="H52" i="35"/>
  <c r="K52" i="35"/>
  <c r="F52" i="35"/>
  <c r="G52" i="35"/>
  <c r="I52" i="35"/>
  <c r="J52" i="35"/>
  <c r="F41" i="35"/>
  <c r="I41" i="35"/>
  <c r="G41" i="35"/>
  <c r="J41" i="35"/>
  <c r="H41" i="35"/>
  <c r="K41" i="35"/>
  <c r="D130" i="15"/>
  <c r="D138" i="15" s="1"/>
  <c r="Z138" i="15" s="1"/>
  <c r="K138" i="15"/>
  <c r="AG138" i="15" s="1"/>
  <c r="S138" i="15"/>
  <c r="AO138" i="15" s="1"/>
  <c r="O138" i="15"/>
  <c r="AK138" i="15" s="1"/>
  <c r="R138" i="15"/>
  <c r="AN138" i="15" s="1"/>
  <c r="L138" i="15"/>
  <c r="AH138" i="15" s="1"/>
  <c r="T138" i="15"/>
  <c r="AP138" i="15" s="1"/>
  <c r="G138" i="15"/>
  <c r="AC138" i="15" s="1"/>
  <c r="E138" i="15"/>
  <c r="AA138" i="15" s="1"/>
  <c r="M138" i="15"/>
  <c r="AI138" i="15" s="1"/>
  <c r="U138" i="15"/>
  <c r="AQ138" i="15" s="1"/>
  <c r="W138" i="15"/>
  <c r="AS138" i="15" s="1"/>
  <c r="F138" i="15"/>
  <c r="AB138" i="15" s="1"/>
  <c r="N138" i="15"/>
  <c r="AJ138" i="15" s="1"/>
  <c r="V138" i="15"/>
  <c r="AR138" i="15" s="1"/>
  <c r="H138" i="15"/>
  <c r="AD138" i="15" s="1"/>
  <c r="P138" i="15"/>
  <c r="AL138" i="15" s="1"/>
  <c r="J138" i="15"/>
  <c r="AF138" i="15" s="1"/>
  <c r="I138" i="15"/>
  <c r="AE138" i="15" s="1"/>
  <c r="Q138" i="15"/>
  <c r="AM138" i="15" s="1"/>
  <c r="Z27" i="35" a="1"/>
  <c r="AD52" i="35" s="1"/>
  <c r="AD53" i="35"/>
  <c r="AL53" i="35" s="1"/>
  <c r="D16" i="35"/>
  <c r="E41" i="35" s="1"/>
  <c r="D28" i="35"/>
  <c r="D53" i="35" s="1"/>
  <c r="AC53" i="35"/>
  <c r="AK53" i="35" s="1"/>
  <c r="AB53" i="35"/>
  <c r="AJ53" i="35" s="1"/>
  <c r="Z15" i="35" a="1"/>
  <c r="AB40" i="35" s="1"/>
  <c r="Z16" i="35" a="1"/>
  <c r="AF41" i="35" s="1"/>
  <c r="AE53" i="35"/>
  <c r="D25" i="35" a="1"/>
  <c r="Z26" i="35" a="1"/>
  <c r="Z26" i="35" s="1"/>
  <c r="Z51" i="35" s="1"/>
  <c r="AF51" i="35" s="1"/>
  <c r="Z25" i="35" a="1"/>
  <c r="Z25" i="35" s="1"/>
  <c r="Z50" i="35" s="1"/>
  <c r="AF50" i="35" s="1"/>
  <c r="D26" i="35" a="1"/>
  <c r="D24" i="35" a="1"/>
  <c r="D23" i="35" a="1"/>
  <c r="Z165" i="15"/>
  <c r="D14" i="35" a="1"/>
  <c r="D13" i="35" a="1"/>
  <c r="Z24" i="35" a="1"/>
  <c r="Z23" i="35" a="1"/>
  <c r="AC48" i="35" s="1"/>
  <c r="AK48" i="35" s="1"/>
  <c r="AH53" i="35"/>
  <c r="AN53" i="35" s="1"/>
  <c r="AA53" i="35"/>
  <c r="AG53" i="35" s="1"/>
  <c r="E52" i="35" l="1"/>
  <c r="E53" i="35"/>
  <c r="H48" i="35"/>
  <c r="J48" i="35"/>
  <c r="K48" i="35"/>
  <c r="G48" i="35"/>
  <c r="I48" i="35"/>
  <c r="F48" i="35"/>
  <c r="F49" i="35"/>
  <c r="I49" i="35"/>
  <c r="G49" i="35"/>
  <c r="J49" i="35"/>
  <c r="H49" i="35"/>
  <c r="K49" i="35"/>
  <c r="D14" i="35"/>
  <c r="E39" i="35" s="1"/>
  <c r="M41" i="35" s="1"/>
  <c r="U39" i="35"/>
  <c r="L39" i="35"/>
  <c r="Q39" i="35"/>
  <c r="R39" i="35"/>
  <c r="V39" i="35"/>
  <c r="M39" i="35"/>
  <c r="G39" i="35"/>
  <c r="O41" i="35" s="1"/>
  <c r="H39" i="35"/>
  <c r="P41" i="35" s="1"/>
  <c r="I39" i="35"/>
  <c r="Q41" i="35" s="1"/>
  <c r="O39" i="35"/>
  <c r="W39" i="35"/>
  <c r="N39" i="35"/>
  <c r="F39" i="35"/>
  <c r="N41" i="35" s="1"/>
  <c r="S39" i="35"/>
  <c r="T39" i="35"/>
  <c r="P39" i="35"/>
  <c r="J39" i="35"/>
  <c r="R41" i="35" s="1"/>
  <c r="K39" i="35"/>
  <c r="S41" i="35" s="1"/>
  <c r="H51" i="35"/>
  <c r="P53" i="35" s="1"/>
  <c r="J51" i="35"/>
  <c r="R53" i="35" s="1"/>
  <c r="F51" i="35"/>
  <c r="N53" i="35" s="1"/>
  <c r="K51" i="35"/>
  <c r="S53" i="35" s="1"/>
  <c r="I51" i="35"/>
  <c r="Q53" i="35" s="1"/>
  <c r="G51" i="35"/>
  <c r="O53" i="35" s="1"/>
  <c r="D13" i="35"/>
  <c r="E38" i="35" s="1"/>
  <c r="V38" i="35"/>
  <c r="J38" i="35"/>
  <c r="R40" i="35" s="1"/>
  <c r="G38" i="35"/>
  <c r="O40" i="35" s="1"/>
  <c r="N38" i="35"/>
  <c r="T38" i="35"/>
  <c r="O38" i="35"/>
  <c r="W38" i="35"/>
  <c r="K38" i="35"/>
  <c r="S40" i="35" s="1"/>
  <c r="H38" i="35"/>
  <c r="P40" i="35" s="1"/>
  <c r="U38" i="35"/>
  <c r="I38" i="35"/>
  <c r="Q40" i="35" s="1"/>
  <c r="P38" i="35"/>
  <c r="R38" i="35"/>
  <c r="Q38" i="35"/>
  <c r="S38" i="35"/>
  <c r="F38" i="35"/>
  <c r="N40" i="35" s="1"/>
  <c r="D25" i="35"/>
  <c r="D50" i="35" s="1"/>
  <c r="L52" i="35" s="1"/>
  <c r="J50" i="35"/>
  <c r="R52" i="35" s="1"/>
  <c r="K50" i="35"/>
  <c r="S52" i="35" s="1"/>
  <c r="I50" i="35"/>
  <c r="Q52" i="35" s="1"/>
  <c r="F50" i="35"/>
  <c r="N52" i="35" s="1"/>
  <c r="G50" i="35"/>
  <c r="O52" i="35" s="1"/>
  <c r="H50" i="35"/>
  <c r="P52" i="35" s="1"/>
  <c r="Z18" i="35" a="1"/>
  <c r="AB43" i="35" s="1"/>
  <c r="Z22" i="35" a="1"/>
  <c r="AC47" i="35" s="1"/>
  <c r="D19" i="35" a="1"/>
  <c r="D21" i="35" a="1"/>
  <c r="Z19" i="35" a="1"/>
  <c r="AC44" i="35" s="1"/>
  <c r="Z21" i="35" a="1"/>
  <c r="AE46" i="35" s="1"/>
  <c r="Z17" i="35" a="1"/>
  <c r="AB42" i="35" s="1"/>
  <c r="D20" i="35" a="1"/>
  <c r="D22" i="35" a="1"/>
  <c r="D17" i="35" a="1"/>
  <c r="D18" i="35" a="1"/>
  <c r="Z20" i="35" a="1"/>
  <c r="AC45" i="35" s="1"/>
  <c r="AL52" i="35"/>
  <c r="AE52" i="35"/>
  <c r="AB52" i="35"/>
  <c r="AJ52" i="35" s="1"/>
  <c r="AR52" i="35" s="1"/>
  <c r="Z27" i="35"/>
  <c r="Z52" i="35" s="1"/>
  <c r="AF52" i="35" s="1"/>
  <c r="AC52" i="35"/>
  <c r="AK52" i="35" s="1"/>
  <c r="AS52" i="35" s="1"/>
  <c r="AB50" i="35"/>
  <c r="AJ50" i="35" s="1"/>
  <c r="AR50" i="35" s="1"/>
  <c r="AE40" i="35"/>
  <c r="AM40" i="35" s="1"/>
  <c r="AD40" i="35"/>
  <c r="AL40" i="35" s="1"/>
  <c r="Z15" i="35"/>
  <c r="Z40" i="35" s="1"/>
  <c r="AH40" i="35" s="1"/>
  <c r="AP40" i="35" s="1"/>
  <c r="AC40" i="35"/>
  <c r="AK40" i="35" s="1"/>
  <c r="AS40" i="35" s="1"/>
  <c r="Z16" i="35"/>
  <c r="Z41" i="35" s="1"/>
  <c r="AH41" i="35" s="1"/>
  <c r="AN41" i="35" s="1"/>
  <c r="AJ40" i="35"/>
  <c r="AR40" i="35" s="1"/>
  <c r="AC41" i="35"/>
  <c r="AK41" i="35" s="1"/>
  <c r="D41" i="35"/>
  <c r="AE41" i="35"/>
  <c r="AF40" i="35"/>
  <c r="AN40" i="35" s="1"/>
  <c r="AM53" i="35"/>
  <c r="AA50" i="35"/>
  <c r="AG50" i="35" s="1"/>
  <c r="AB51" i="35"/>
  <c r="AJ51" i="35" s="1"/>
  <c r="AR51" i="35" s="1"/>
  <c r="AE51" i="35"/>
  <c r="AM51" i="35" s="1"/>
  <c r="AH51" i="35"/>
  <c r="AP51" i="35" s="1"/>
  <c r="AB41" i="35"/>
  <c r="AJ41" i="35" s="1"/>
  <c r="AR41" i="35" s="1"/>
  <c r="AD41" i="35"/>
  <c r="AL41" i="35" s="1"/>
  <c r="AN50" i="35"/>
  <c r="AD50" i="35"/>
  <c r="AL50" i="35" s="1"/>
  <c r="AH50" i="35"/>
  <c r="AP50" i="35" s="1"/>
  <c r="AC50" i="35"/>
  <c r="AK50" i="35" s="1"/>
  <c r="AS50" i="35" s="1"/>
  <c r="AE50" i="35"/>
  <c r="AM50" i="35" s="1"/>
  <c r="AN51" i="35"/>
  <c r="AA51" i="35"/>
  <c r="AG51" i="35" s="1"/>
  <c r="AC51" i="35"/>
  <c r="AK51" i="35" s="1"/>
  <c r="AS51" i="35" s="1"/>
  <c r="AD51" i="35"/>
  <c r="AL51" i="35" s="1"/>
  <c r="D24" i="35"/>
  <c r="D49" i="35" s="1"/>
  <c r="L51" i="35" s="1"/>
  <c r="T53" i="35" s="1"/>
  <c r="D26" i="35"/>
  <c r="E51" i="35" s="1"/>
  <c r="D23" i="35"/>
  <c r="E48" i="35" s="1"/>
  <c r="AE48" i="35"/>
  <c r="AD48" i="35"/>
  <c r="AL48" i="35" s="1"/>
  <c r="Z23" i="35"/>
  <c r="AB48" i="35"/>
  <c r="AJ48" i="35" s="1"/>
  <c r="AR48" i="35" s="1"/>
  <c r="Z24" i="35"/>
  <c r="AB49" i="35"/>
  <c r="AJ49" i="35" s="1"/>
  <c r="AR49" i="35" s="1"/>
  <c r="AC49" i="35"/>
  <c r="AK49" i="35" s="1"/>
  <c r="AS49" i="35" s="1"/>
  <c r="AD49" i="35"/>
  <c r="AL49" i="35" s="1"/>
  <c r="AE49" i="35"/>
  <c r="Z14" i="35" a="1"/>
  <c r="Z14" i="35" s="1"/>
  <c r="Z39" i="35" s="1"/>
  <c r="AF39" i="35" s="1"/>
  <c r="Z13" i="35" a="1"/>
  <c r="AD38" i="35" s="1"/>
  <c r="D39" i="35"/>
  <c r="L41" i="35" s="1"/>
  <c r="AS53" i="35"/>
  <c r="AP53" i="35"/>
  <c r="AS48" i="35"/>
  <c r="AR53" i="35"/>
  <c r="AI53" i="35"/>
  <c r="W40" i="35" l="1"/>
  <c r="R50" i="35"/>
  <c r="R51" i="35"/>
  <c r="E50" i="35"/>
  <c r="M52" i="35" s="1"/>
  <c r="Q50" i="35"/>
  <c r="P50" i="35"/>
  <c r="P51" i="35"/>
  <c r="AE43" i="35"/>
  <c r="AM43" i="35" s="1"/>
  <c r="M53" i="35"/>
  <c r="AD47" i="35"/>
  <c r="AL47" i="35" s="1"/>
  <c r="M40" i="35"/>
  <c r="M38" i="35"/>
  <c r="D21" i="35"/>
  <c r="D46" i="35" s="1"/>
  <c r="J46" i="35"/>
  <c r="R48" i="35" s="1"/>
  <c r="G46" i="35"/>
  <c r="O48" i="35" s="1"/>
  <c r="I46" i="35"/>
  <c r="Q48" i="35" s="1"/>
  <c r="K46" i="35"/>
  <c r="S48" i="35" s="1"/>
  <c r="H46" i="35"/>
  <c r="P48" i="35" s="1"/>
  <c r="F46" i="35"/>
  <c r="N48" i="35" s="1"/>
  <c r="D19" i="35"/>
  <c r="D44" i="35" s="1"/>
  <c r="J44" i="35"/>
  <c r="F44" i="35"/>
  <c r="K44" i="35"/>
  <c r="G44" i="35"/>
  <c r="H44" i="35"/>
  <c r="I44" i="35"/>
  <c r="J42" i="35"/>
  <c r="R42" i="35" s="1"/>
  <c r="H42" i="35"/>
  <c r="P42" i="35" s="1"/>
  <c r="K42" i="35"/>
  <c r="S42" i="35" s="1"/>
  <c r="G42" i="35"/>
  <c r="I42" i="35"/>
  <c r="F42" i="35"/>
  <c r="N42" i="35" s="1"/>
  <c r="V42" i="35" s="1"/>
  <c r="N50" i="35"/>
  <c r="V52" i="35" s="1"/>
  <c r="O51" i="35"/>
  <c r="W53" i="35" s="1"/>
  <c r="D22" i="35"/>
  <c r="D47" i="35" s="1"/>
  <c r="L49" i="35" s="1"/>
  <c r="T51" i="35" s="1"/>
  <c r="H47" i="35"/>
  <c r="P49" i="35" s="1"/>
  <c r="F47" i="35"/>
  <c r="N49" i="35" s="1"/>
  <c r="J47" i="35"/>
  <c r="R49" i="35" s="1"/>
  <c r="K47" i="35"/>
  <c r="S49" i="35" s="1"/>
  <c r="G47" i="35"/>
  <c r="O49" i="35" s="1"/>
  <c r="I47" i="35"/>
  <c r="Q49" i="35" s="1"/>
  <c r="U41" i="35"/>
  <c r="H43" i="35"/>
  <c r="P43" i="35" s="1"/>
  <c r="F43" i="35"/>
  <c r="N43" i="35" s="1"/>
  <c r="J43" i="35"/>
  <c r="R43" i="35" s="1"/>
  <c r="K43" i="35"/>
  <c r="S43" i="35" s="1"/>
  <c r="G43" i="35"/>
  <c r="O43" i="35" s="1"/>
  <c r="I43" i="35"/>
  <c r="Q43" i="35" s="1"/>
  <c r="D20" i="35"/>
  <c r="D45" i="35" s="1"/>
  <c r="I45" i="35"/>
  <c r="G45" i="35"/>
  <c r="O47" i="35" s="1"/>
  <c r="W49" i="35" s="1"/>
  <c r="J45" i="35"/>
  <c r="K45" i="35"/>
  <c r="F45" i="35"/>
  <c r="N47" i="35" s="1"/>
  <c r="V49" i="35" s="1"/>
  <c r="H45" i="35"/>
  <c r="V41" i="35"/>
  <c r="E49" i="35"/>
  <c r="M51" i="35" s="1"/>
  <c r="U53" i="35" s="1"/>
  <c r="O50" i="35"/>
  <c r="W52" i="35" s="1"/>
  <c r="N51" i="35"/>
  <c r="V53" i="35" s="1"/>
  <c r="S50" i="35"/>
  <c r="Q51" i="35"/>
  <c r="S51" i="35"/>
  <c r="V40" i="35"/>
  <c r="W41" i="35"/>
  <c r="T41" i="35"/>
  <c r="Z17" i="35"/>
  <c r="Z42" i="35" s="1"/>
  <c r="AF42" i="35" s="1"/>
  <c r="AN42" i="35" s="1"/>
  <c r="AK47" i="35"/>
  <c r="AS47" i="35" s="1"/>
  <c r="AJ43" i="35"/>
  <c r="AR43" i="35" s="1"/>
  <c r="AC43" i="35"/>
  <c r="AK43" i="35" s="1"/>
  <c r="AS43" i="35" s="1"/>
  <c r="Z22" i="35"/>
  <c r="Z47" i="35" s="1"/>
  <c r="AF47" i="35" s="1"/>
  <c r="Z21" i="35"/>
  <c r="Z46" i="35" s="1"/>
  <c r="AF46" i="35" s="1"/>
  <c r="AN46" i="35" s="1"/>
  <c r="AD43" i="35"/>
  <c r="AL43" i="35" s="1"/>
  <c r="AE42" i="35"/>
  <c r="AD44" i="35"/>
  <c r="AL44" i="35" s="1"/>
  <c r="AB46" i="35"/>
  <c r="AJ46" i="35" s="1"/>
  <c r="AR46" i="35" s="1"/>
  <c r="AD46" i="35"/>
  <c r="AL46" i="35" s="1"/>
  <c r="Z18" i="35"/>
  <c r="Z43" i="35" s="1"/>
  <c r="AF43" i="35" s="1"/>
  <c r="AD42" i="35"/>
  <c r="AL42" i="35" s="1"/>
  <c r="AC42" i="35"/>
  <c r="AK42" i="35" s="1"/>
  <c r="AS42" i="35" s="1"/>
  <c r="AJ42" i="35"/>
  <c r="AR42" i="35" s="1"/>
  <c r="AE47" i="35"/>
  <c r="AM47" i="35" s="1"/>
  <c r="D17" i="35"/>
  <c r="D42" i="35" s="1"/>
  <c r="L42" i="35" s="1"/>
  <c r="AB47" i="35"/>
  <c r="AJ47" i="35" s="1"/>
  <c r="AR47" i="35" s="1"/>
  <c r="D18" i="35"/>
  <c r="D43" i="35" s="1"/>
  <c r="AC46" i="35"/>
  <c r="AK46" i="35" s="1"/>
  <c r="AS46" i="35" s="1"/>
  <c r="AE44" i="35"/>
  <c r="AM44" i="35" s="1"/>
  <c r="Z19" i="35"/>
  <c r="Z44" i="35" s="1"/>
  <c r="AF44" i="35" s="1"/>
  <c r="AB44" i="35"/>
  <c r="AJ44" i="35" s="1"/>
  <c r="AR44" i="35" s="1"/>
  <c r="AK44" i="35"/>
  <c r="AS44" i="35" s="1"/>
  <c r="AD45" i="35"/>
  <c r="AL45" i="35" s="1"/>
  <c r="AB45" i="35"/>
  <c r="AJ45" i="35" s="1"/>
  <c r="AR45" i="35" s="1"/>
  <c r="AE45" i="35"/>
  <c r="AK45" i="35"/>
  <c r="AS45" i="35" s="1"/>
  <c r="Z20" i="35"/>
  <c r="Z45" i="35" s="1"/>
  <c r="AF45" i="35" s="1"/>
  <c r="AN45" i="35" s="1"/>
  <c r="AH52" i="35"/>
  <c r="AN52" i="35" s="1"/>
  <c r="AA52" i="35"/>
  <c r="AA41" i="35"/>
  <c r="AG41" i="35" s="1"/>
  <c r="AM41" i="35" s="1"/>
  <c r="AS41" i="35"/>
  <c r="AI51" i="35"/>
  <c r="AQ51" i="35" s="1"/>
  <c r="AI50" i="35"/>
  <c r="AQ50" i="35" s="1"/>
  <c r="AA40" i="35"/>
  <c r="AG40" i="35" s="1"/>
  <c r="AP41" i="35"/>
  <c r="AB39" i="35"/>
  <c r="AJ39" i="35" s="1"/>
  <c r="AR39" i="35" s="1"/>
  <c r="D48" i="35"/>
  <c r="L50" i="35" s="1"/>
  <c r="T52" i="35" s="1"/>
  <c r="D51" i="35"/>
  <c r="L53" i="35" s="1"/>
  <c r="AD39" i="35"/>
  <c r="AL39" i="35" s="1"/>
  <c r="AA39" i="35"/>
  <c r="AG39" i="35" s="1"/>
  <c r="AN39" i="35"/>
  <c r="AB38" i="35"/>
  <c r="AJ38" i="35" s="1"/>
  <c r="AC39" i="35"/>
  <c r="AK39" i="35" s="1"/>
  <c r="AS39" i="35" s="1"/>
  <c r="AC38" i="35"/>
  <c r="AK38" i="35" s="1"/>
  <c r="AS38" i="35" s="1"/>
  <c r="AH39" i="35"/>
  <c r="AP39" i="35" s="1"/>
  <c r="AE39" i="35"/>
  <c r="AM39" i="35" s="1"/>
  <c r="Z13" i="35"/>
  <c r="AA38" i="35" s="1"/>
  <c r="AE38" i="35"/>
  <c r="AM38" i="35" s="1"/>
  <c r="Z49" i="35"/>
  <c r="AA49" i="35"/>
  <c r="Z48" i="35"/>
  <c r="AA48" i="35"/>
  <c r="AO51" i="35"/>
  <c r="AO50" i="35"/>
  <c r="AO53" i="35"/>
  <c r="AQ53" i="35"/>
  <c r="L47" i="35" l="1"/>
  <c r="T49" i="35" s="1"/>
  <c r="O46" i="35"/>
  <c r="W48" i="35" s="1"/>
  <c r="M50" i="35"/>
  <c r="U52" i="35" s="1"/>
  <c r="R45" i="35"/>
  <c r="L46" i="35"/>
  <c r="S47" i="35"/>
  <c r="S46" i="35"/>
  <c r="R47" i="35"/>
  <c r="R44" i="35"/>
  <c r="AA42" i="35"/>
  <c r="AG42" i="35" s="1"/>
  <c r="AM42" i="35" s="1"/>
  <c r="P45" i="35"/>
  <c r="Q44" i="35"/>
  <c r="P46" i="35"/>
  <c r="N46" i="35"/>
  <c r="V48" i="35" s="1"/>
  <c r="R46" i="35"/>
  <c r="P47" i="35"/>
  <c r="AA47" i="35"/>
  <c r="AG47" i="35" s="1"/>
  <c r="AO47" i="35" s="1"/>
  <c r="L45" i="35"/>
  <c r="T47" i="35" s="1"/>
  <c r="N44" i="35"/>
  <c r="L44" i="35"/>
  <c r="T46" i="35" s="1"/>
  <c r="P44" i="35"/>
  <c r="Q47" i="35"/>
  <c r="O44" i="35"/>
  <c r="W46" i="35" s="1"/>
  <c r="Q46" i="35"/>
  <c r="AH47" i="35"/>
  <c r="AN47" i="35" s="1"/>
  <c r="E46" i="35"/>
  <c r="M48" i="35" s="1"/>
  <c r="U50" i="35" s="1"/>
  <c r="O45" i="35"/>
  <c r="W47" i="35" s="1"/>
  <c r="S44" i="35"/>
  <c r="V43" i="35"/>
  <c r="W45" i="35"/>
  <c r="W43" i="35"/>
  <c r="V46" i="35"/>
  <c r="V44" i="35"/>
  <c r="N45" i="35"/>
  <c r="V47" i="35" s="1"/>
  <c r="W51" i="35"/>
  <c r="E44" i="35"/>
  <c r="W50" i="35"/>
  <c r="L43" i="35"/>
  <c r="Q42" i="35"/>
  <c r="AH43" i="35"/>
  <c r="AN43" i="35" s="1"/>
  <c r="E43" i="35"/>
  <c r="E47" i="35"/>
  <c r="M49" i="35" s="1"/>
  <c r="U51" i="35" s="1"/>
  <c r="E42" i="35"/>
  <c r="Q45" i="35"/>
  <c r="O42" i="35"/>
  <c r="L48" i="35"/>
  <c r="T50" i="35" s="1"/>
  <c r="S45" i="35"/>
  <c r="V51" i="35"/>
  <c r="V50" i="35"/>
  <c r="U40" i="35"/>
  <c r="E45" i="35"/>
  <c r="AH46" i="35"/>
  <c r="AP46" i="35" s="1"/>
  <c r="AA46" i="35"/>
  <c r="AG46" i="35" s="1"/>
  <c r="AM46" i="35" s="1"/>
  <c r="AH42" i="35"/>
  <c r="AP42" i="35" s="1"/>
  <c r="AH44" i="35"/>
  <c r="AN44" i="35" s="1"/>
  <c r="AA44" i="35"/>
  <c r="AG44" i="35" s="1"/>
  <c r="AO44" i="35" s="1"/>
  <c r="AA43" i="35"/>
  <c r="AG43" i="35" s="1"/>
  <c r="AO43" i="35" s="1"/>
  <c r="AH45" i="35"/>
  <c r="AP45" i="35" s="1"/>
  <c r="AA45" i="35"/>
  <c r="AG45" i="35" s="1"/>
  <c r="AM45" i="35" s="1"/>
  <c r="AP52" i="35"/>
  <c r="AI47" i="35"/>
  <c r="AQ47" i="35" s="1"/>
  <c r="AI40" i="35"/>
  <c r="AO40" i="35" s="1"/>
  <c r="AG52" i="35"/>
  <c r="AM52" i="35" s="1"/>
  <c r="AI52" i="35"/>
  <c r="AI41" i="35"/>
  <c r="AO41" i="35" s="1"/>
  <c r="AI42" i="35"/>
  <c r="AO42" i="35" s="1"/>
  <c r="AI39" i="35"/>
  <c r="AO39" i="35" s="1"/>
  <c r="AG48" i="35"/>
  <c r="AI48" i="35"/>
  <c r="AQ48" i="35" s="1"/>
  <c r="AF48" i="35"/>
  <c r="AN48" i="35" s="1"/>
  <c r="AH48" i="35"/>
  <c r="AP48" i="35" s="1"/>
  <c r="AG49" i="35"/>
  <c r="AM49" i="35" s="1"/>
  <c r="AI49" i="35"/>
  <c r="AF49" i="35"/>
  <c r="AN49" i="35" s="1"/>
  <c r="AH49" i="35"/>
  <c r="AP49" i="35" s="1"/>
  <c r="AG38" i="35"/>
  <c r="AI38" i="35"/>
  <c r="M46" i="35" l="1"/>
  <c r="U48" i="35" s="1"/>
  <c r="AI46" i="35"/>
  <c r="AQ46" i="35" s="1"/>
  <c r="AP43" i="35"/>
  <c r="AP47" i="35"/>
  <c r="T48" i="35"/>
  <c r="T44" i="35"/>
  <c r="AO45" i="35"/>
  <c r="M43" i="35"/>
  <c r="M45" i="35"/>
  <c r="M42" i="35"/>
  <c r="M44" i="35"/>
  <c r="U46" i="35" s="1"/>
  <c r="W44" i="35"/>
  <c r="W42" i="35"/>
  <c r="T45" i="35"/>
  <c r="T43" i="35"/>
  <c r="M47" i="35"/>
  <c r="U49" i="35" s="1"/>
  <c r="V45" i="35"/>
  <c r="AP44" i="35"/>
  <c r="AI44" i="35"/>
  <c r="AQ44" i="35" s="1"/>
  <c r="AO46" i="35"/>
  <c r="AI45" i="35"/>
  <c r="AQ45" i="35" s="1"/>
  <c r="AI43" i="35"/>
  <c r="AQ43" i="35" s="1"/>
  <c r="AQ40" i="35"/>
  <c r="AO52" i="35"/>
  <c r="AQ52" i="35"/>
  <c r="AQ41" i="35"/>
  <c r="AQ42" i="35"/>
  <c r="AQ39" i="35"/>
  <c r="AO38" i="35"/>
  <c r="AQ38" i="35"/>
  <c r="AO49" i="35"/>
  <c r="AQ49" i="35"/>
  <c r="AM48" i="35"/>
  <c r="AO48" i="35"/>
  <c r="U42" i="35" l="1"/>
  <c r="U44" i="35"/>
  <c r="U43" i="35"/>
  <c r="U45" i="35"/>
  <c r="U47" i="35"/>
  <c r="D38" i="35"/>
  <c r="L40" i="35" l="1"/>
  <c r="T42" i="35" s="1"/>
  <c r="L38" i="35"/>
  <c r="Z38" i="35"/>
  <c r="T40" i="35" l="1"/>
  <c r="AF38" i="35"/>
  <c r="AN38" i="35" s="1"/>
  <c r="AH38" i="35"/>
  <c r="AP38" i="35" s="1"/>
  <c r="AL38" i="35"/>
  <c r="AR38" i="35" s="1"/>
  <c r="D13" i="9" l="1" a="1"/>
  <c r="D13" i="9" s="1"/>
  <c r="C13" i="9" s="1"/>
  <c r="D36" i="41" l="1" a="1"/>
  <c r="D36" i="41" s="1"/>
  <c r="Z34" i="3" a="1"/>
  <c r="AK51" i="3" s="1"/>
  <c r="D9" i="5" l="1" a="1"/>
  <c r="Z9" i="5" a="1"/>
  <c r="AH51" i="3"/>
  <c r="AF51" i="3"/>
  <c r="AD51" i="3"/>
  <c r="AQ51" i="3"/>
  <c r="AJ51" i="3"/>
  <c r="AC51" i="3"/>
  <c r="AO51" i="3"/>
  <c r="AL51" i="3"/>
  <c r="AG51" i="3"/>
  <c r="Z34" i="3"/>
  <c r="Z51" i="3" s="1"/>
  <c r="AM51" i="3"/>
  <c r="AB51" i="3"/>
  <c r="AE51" i="3"/>
  <c r="AS51" i="3"/>
  <c r="AI51" i="3"/>
  <c r="AA51" i="3"/>
  <c r="AR51" i="3"/>
  <c r="AP51" i="3"/>
  <c r="AN51" i="3"/>
  <c r="Z52" i="3" l="1" a="1"/>
  <c r="Z52" i="3" s="1"/>
  <c r="Y52" i="3" s="1"/>
  <c r="AC26" i="5"/>
  <c r="AP26" i="5"/>
  <c r="AN26" i="5"/>
  <c r="AK26" i="5"/>
  <c r="AF26" i="5"/>
  <c r="AB26" i="5"/>
  <c r="AA26" i="5"/>
  <c r="AL26" i="5"/>
  <c r="AI26" i="5"/>
  <c r="AG26" i="5"/>
  <c r="AS26" i="5"/>
  <c r="AJ26" i="5"/>
  <c r="AE26" i="5"/>
  <c r="AH26" i="5"/>
  <c r="AM26" i="5"/>
  <c r="AD26" i="5"/>
  <c r="AQ26" i="5"/>
  <c r="AO26" i="5"/>
  <c r="AR26" i="5"/>
  <c r="Z9" i="5"/>
  <c r="Z26" i="5" s="1"/>
  <c r="G26" i="5"/>
  <c r="P26" i="5"/>
  <c r="W26" i="5"/>
  <c r="V26" i="5"/>
  <c r="N26" i="5"/>
  <c r="H26" i="5"/>
  <c r="T26" i="5"/>
  <c r="L26" i="5"/>
  <c r="O26" i="5"/>
  <c r="U26" i="5"/>
  <c r="I26" i="5"/>
  <c r="M26" i="5"/>
  <c r="K26" i="5"/>
  <c r="S26" i="5"/>
  <c r="D9" i="5"/>
  <c r="D26" i="5" s="1"/>
  <c r="E26" i="5"/>
  <c r="F26" i="5"/>
  <c r="R26" i="5"/>
  <c r="J26" i="5"/>
  <c r="Q26" i="5"/>
  <c r="D7" i="9" l="1" a="1"/>
  <c r="D7" i="9" s="1"/>
  <c r="B24" i="92" a="1"/>
  <c r="D27" i="5" a="1"/>
  <c r="D27" i="5" s="1"/>
  <c r="Z27" i="5" a="1"/>
  <c r="Z27" i="5" s="1"/>
  <c r="Y27" i="5" s="1"/>
  <c r="C27" i="5" l="1"/>
  <c r="B24" i="92"/>
  <c r="B12" i="92" l="1" a="1"/>
  <c r="B12" i="92" s="1"/>
  <c r="B13" i="92" s="1"/>
  <c r="B16" i="92" a="1"/>
  <c r="B16" i="92" s="1"/>
  <c r="D34" i="3" l="1" a="1"/>
  <c r="T51" i="3" l="1"/>
  <c r="H51" i="3"/>
  <c r="V51" i="3"/>
  <c r="N51" i="3"/>
  <c r="F51" i="3"/>
  <c r="O51" i="3"/>
  <c r="S51" i="3"/>
  <c r="E51" i="3"/>
  <c r="D34" i="3"/>
  <c r="D51" i="3" s="1"/>
  <c r="R51" i="3"/>
  <c r="J51" i="3"/>
  <c r="G51" i="3"/>
  <c r="M51" i="3"/>
  <c r="Q51" i="3"/>
  <c r="W51" i="3"/>
  <c r="I51" i="3"/>
  <c r="K51" i="3"/>
  <c r="U51" i="3"/>
  <c r="L51" i="3"/>
  <c r="P51" i="3"/>
  <c r="D6" i="9" l="1" a="1"/>
  <c r="D52" i="3" a="1"/>
  <c r="D52" i="3" s="1"/>
  <c r="C52" i="3" s="1"/>
  <c r="C9" i="91" a="1"/>
  <c r="D6" i="9" l="1"/>
  <c r="D8" i="9" s="1"/>
  <c r="E8" i="9"/>
  <c r="M8" i="9"/>
  <c r="U8" i="9"/>
  <c r="H8" i="9"/>
  <c r="I8" i="9"/>
  <c r="L8" i="9"/>
  <c r="T8" i="9"/>
  <c r="F8" i="9"/>
  <c r="N8" i="9"/>
  <c r="V8" i="9"/>
  <c r="Q8" i="9"/>
  <c r="G8" i="9"/>
  <c r="O8" i="9"/>
  <c r="W8" i="9"/>
  <c r="P8" i="9"/>
  <c r="J8" i="9"/>
  <c r="R8" i="9"/>
  <c r="K8" i="9"/>
  <c r="S8" i="9"/>
  <c r="C9" i="91"/>
  <c r="D9" i="9" l="1" a="1"/>
  <c r="D9" i="9" s="1"/>
  <c r="C9" i="9" s="1"/>
  <c r="C17" i="9" s="1"/>
  <c r="D17" i="9" s="1"/>
  <c r="C11" i="91"/>
  <c r="C10" i="91"/>
  <c r="E17" i="9" l="1"/>
  <c r="F17" i="9" s="1"/>
  <c r="G17" i="9" s="1"/>
  <c r="H17" i="9" s="1"/>
  <c r="I17" i="9" s="1"/>
  <c r="J17" i="9" s="1"/>
  <c r="K17" i="9" s="1"/>
  <c r="L17" i="9" s="1"/>
  <c r="M17" i="9" s="1"/>
  <c r="N17" i="9" s="1"/>
  <c r="O17" i="9" s="1"/>
  <c r="P17" i="9" s="1"/>
  <c r="Q17" i="9" s="1"/>
  <c r="R17" i="9" s="1"/>
  <c r="S17" i="9" s="1"/>
  <c r="T17" i="9" s="1"/>
  <c r="U17" i="9" s="1"/>
  <c r="V17" i="9" s="1"/>
  <c r="W17" i="9" s="1"/>
  <c r="C12" i="91"/>
  <c r="D8" i="91" s="1"/>
  <c r="D10" i="91" s="1"/>
  <c r="B30" i="1" l="1" a="1"/>
  <c r="B30" i="1" s="1"/>
  <c r="B6" i="92" a="1"/>
  <c r="B6" i="92" s="1"/>
  <c r="B7" i="92" s="1" a="1"/>
  <c r="B7" i="92" s="1"/>
  <c r="B8" i="92" s="1"/>
  <c r="D11" i="91"/>
  <c r="D12" i="91" s="1"/>
  <c r="E8" i="91" s="1"/>
  <c r="E10" i="91" s="1"/>
  <c r="E11" i="91" l="1"/>
  <c r="E12" i="91" s="1"/>
  <c r="F8" i="91" s="1"/>
  <c r="F10" i="91" s="1"/>
  <c r="F11" i="91" l="1"/>
  <c r="F12" i="91" s="1"/>
  <c r="G8" i="91" s="1"/>
  <c r="G10" i="91" s="1"/>
  <c r="G11" i="91" l="1"/>
  <c r="G12" i="91" s="1"/>
  <c r="H8" i="91" s="1"/>
  <c r="H10" i="91" s="1"/>
  <c r="H11" i="91" l="1"/>
  <c r="H12" i="91" s="1"/>
  <c r="I8" i="91" s="1"/>
  <c r="I10" i="91" s="1"/>
  <c r="I11" i="91" l="1"/>
  <c r="I12" i="91" s="1"/>
  <c r="J8" i="91" s="1"/>
  <c r="J10" i="91" s="1"/>
  <c r="J11" i="91" l="1"/>
  <c r="J12" i="91" s="1"/>
  <c r="K8" i="91" s="1"/>
  <c r="K10" i="91" s="1"/>
  <c r="K11" i="91" l="1"/>
  <c r="K12" i="91" s="1"/>
  <c r="L8" i="91" s="1"/>
  <c r="L10" i="91" s="1"/>
  <c r="L11" i="91" l="1"/>
  <c r="L12" i="91" s="1"/>
  <c r="M8" i="91" s="1"/>
  <c r="M10" i="91" s="1"/>
  <c r="M11" i="91" l="1"/>
  <c r="M12" i="91" s="1"/>
  <c r="N8" i="91" s="1"/>
  <c r="N10" i="91" s="1"/>
  <c r="N11" i="91" l="1"/>
  <c r="N12" i="91" s="1"/>
  <c r="O8" i="91" s="1"/>
  <c r="O10" i="91" s="1"/>
  <c r="O11" i="91" l="1"/>
  <c r="O12" i="91" s="1"/>
  <c r="P8" i="91" s="1"/>
  <c r="P10" i="91" s="1"/>
  <c r="P11" i="91" l="1"/>
  <c r="P12" i="91" s="1"/>
  <c r="Q8" i="91" s="1"/>
  <c r="Q10" i="91" s="1"/>
  <c r="Q11" i="91" l="1"/>
  <c r="Q12" i="91" s="1"/>
  <c r="R8" i="91" s="1"/>
  <c r="R10" i="91" s="1"/>
  <c r="R11" i="91" l="1"/>
  <c r="R12" i="91" s="1"/>
  <c r="S8" i="91" s="1"/>
  <c r="S10" i="91" s="1"/>
  <c r="S11" i="91" l="1"/>
  <c r="S12" i="91" s="1"/>
  <c r="T8" i="91" s="1"/>
  <c r="T10" i="91" s="1"/>
  <c r="T11" i="91" l="1"/>
  <c r="T12" i="91" s="1"/>
  <c r="U8" i="91" s="1"/>
  <c r="U10" i="91" s="1"/>
  <c r="U11" i="91" l="1"/>
  <c r="U12" i="91" s="1"/>
  <c r="V8" i="91" s="1"/>
  <c r="V10" i="91" s="1"/>
  <c r="V11" i="91" l="1"/>
  <c r="B25" i="92" s="1" a="1"/>
  <c r="V12" i="91" l="1"/>
  <c r="T26" i="92"/>
  <c r="O26" i="92"/>
  <c r="E26" i="92"/>
  <c r="P26" i="92"/>
  <c r="U26" i="92"/>
  <c r="B25" i="92"/>
  <c r="B26" i="92" s="1"/>
  <c r="M26" i="92"/>
  <c r="R26" i="92"/>
  <c r="H26" i="92"/>
  <c r="S26" i="92"/>
  <c r="G26" i="92"/>
  <c r="N26" i="92"/>
  <c r="K26" i="92"/>
  <c r="D26" i="92"/>
  <c r="I26" i="92"/>
  <c r="L26" i="92"/>
  <c r="F26" i="92"/>
  <c r="Q26" i="92"/>
  <c r="C26" i="92"/>
  <c r="J26" i="9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<sst xmlns="http://schemas.openxmlformats.org/spreadsheetml/2006/main" count="512" uniqueCount="404">
  <si>
    <t>Date</t>
  </si>
  <si>
    <t>Version</t>
  </si>
  <si>
    <t>Confidentiality</t>
  </si>
  <si>
    <t>This cost model is a template with no confidential information</t>
  </si>
  <si>
    <t>Introduction:</t>
  </si>
  <si>
    <t>This network cost model was prepared by Acacia Economics for ICASA fixed termination rates</t>
  </si>
  <si>
    <t>Key</t>
  </si>
  <si>
    <t>Red fill means an assumption was used, typically from a licensee, and this figure can be changed</t>
  </si>
  <si>
    <t>Red text</t>
  </si>
  <si>
    <t>Means cell or array name</t>
  </si>
  <si>
    <t>Black text</t>
  </si>
  <si>
    <t>Explains an assumption or a source or otherwise provides an explanation.</t>
  </si>
  <si>
    <t>Growth scenario</t>
  </si>
  <si>
    <t>Medium growth scenario</t>
  </si>
  <si>
    <t>Market share of generic operator</t>
  </si>
  <si>
    <t>share_operator</t>
  </si>
  <si>
    <t>Note: we assume a 5-operator market (market share of 1/5)</t>
  </si>
  <si>
    <t>Costs</t>
  </si>
  <si>
    <t>Plan of cost model</t>
  </si>
  <si>
    <t>Step 1 - Volumes</t>
  </si>
  <si>
    <t>Step 2 - Conversion of demand volumes to common network usage metrics</t>
  </si>
  <si>
    <t>In this tab, we use dimensioning parameters  to convert usage volumes of fixed voice to common factors in the busy hour, in order to dimension our network.</t>
  </si>
  <si>
    <t>Parameter</t>
  </si>
  <si>
    <t>Unit</t>
  </si>
  <si>
    <t>Notes</t>
  </si>
  <si>
    <t>Input</t>
  </si>
  <si>
    <t>Cell reference</t>
  </si>
  <si>
    <t>General parameters</t>
  </si>
  <si>
    <t>Sources</t>
  </si>
  <si>
    <t>Seconds in one minute</t>
  </si>
  <si>
    <t>seconds/minute</t>
  </si>
  <si>
    <t>sec_minute</t>
  </si>
  <si>
    <t>Own calc</t>
  </si>
  <si>
    <t>Minutes in an hour</t>
  </si>
  <si>
    <t>mins/hour</t>
  </si>
  <si>
    <t>This is used, for example, for converting minutes to Erlangs (divide by 60)</t>
  </si>
  <si>
    <t>mins_hour</t>
  </si>
  <si>
    <t>Days in a year</t>
  </si>
  <si>
    <t>days/year</t>
  </si>
  <si>
    <t>Weeks in a year</t>
  </si>
  <si>
    <t>weeks/year</t>
  </si>
  <si>
    <t>Working days in a week</t>
  </si>
  <si>
    <t>days/week</t>
  </si>
  <si>
    <t>Days in a week</t>
  </si>
  <si>
    <t>On-net voice call and SMS provisioning / demand factor</t>
  </si>
  <si>
    <t>factor</t>
  </si>
  <si>
    <t>onnet_factor</t>
  </si>
  <si>
    <t>Call assumptions</t>
  </si>
  <si>
    <t>Source:</t>
  </si>
  <si>
    <t>Unsuccessful calls</t>
  </si>
  <si>
    <t>percentage</t>
  </si>
  <si>
    <t>unsuccessful_calls_perc</t>
  </si>
  <si>
    <t>Minutes per call</t>
  </si>
  <si>
    <t>mins_call</t>
  </si>
  <si>
    <t>Own assumption</t>
  </si>
  <si>
    <t>Idle time (due to unanswered calls, voice messages, etc)</t>
  </si>
  <si>
    <t>idle_time</t>
  </si>
  <si>
    <t>EU fixed call termination rate model, 2018</t>
  </si>
  <si>
    <t>Note: these assumptions can be differentiated by service if needs be and the data are available</t>
  </si>
  <si>
    <t>Busy hour assumptions</t>
  </si>
  <si>
    <t>% of calls made during working days</t>
  </si>
  <si>
    <t>Working days in the year</t>
  </si>
  <si>
    <t>% of calls made in a working day during the busy hour</t>
  </si>
  <si>
    <t>% of annual traffic in the busy hour</t>
  </si>
  <si>
    <t>busy_hour_perc</t>
  </si>
  <si>
    <t>Note: This can also be computed per service if necessary</t>
  </si>
  <si>
    <t>Network element demand assumptions</t>
  </si>
  <si>
    <t>Demand parameter</t>
  </si>
  <si>
    <t>Calls per second</t>
  </si>
  <si>
    <t>as_hardware</t>
  </si>
  <si>
    <t>as_software</t>
  </si>
  <si>
    <t>Call data records per hour (calls per hour)</t>
  </si>
  <si>
    <t>cdf_hardware</t>
  </si>
  <si>
    <t>cdf_software</t>
  </si>
  <si>
    <t>Busy hour call attempts</t>
  </si>
  <si>
    <t>proxy_cscf_hardware</t>
  </si>
  <si>
    <t>proxy_cscf_software</t>
  </si>
  <si>
    <t>interr_cscf_hardware</t>
  </si>
  <si>
    <t>interr_cscf_software</t>
  </si>
  <si>
    <t>serve_cscf_hardware</t>
  </si>
  <si>
    <t>serve_cscf_software</t>
  </si>
  <si>
    <t>Concurrent sessions (calls per hour)</t>
  </si>
  <si>
    <t>mrf_hardware</t>
  </si>
  <si>
    <t>mrf_software</t>
  </si>
  <si>
    <t>access_sbc_hardware</t>
  </si>
  <si>
    <t>access_sbc_software</t>
  </si>
  <si>
    <t>ix_sbc_hardware</t>
  </si>
  <si>
    <t>ix_sbc_software</t>
  </si>
  <si>
    <t>Note: equipment vendors may bill stakeholders based on different network dimensioning elements</t>
  </si>
  <si>
    <t>Note: It may me useful to distinguish between concurrent voice channels and concurrent sessions for the MRF</t>
  </si>
  <si>
    <t>Traffic demand-total volumes</t>
  </si>
  <si>
    <t>These data are pulled from 1 volumes based on the scenario in the summary tab</t>
  </si>
  <si>
    <t>B Traffic excluding incoming voice</t>
  </si>
  <si>
    <t>fixed_services</t>
  </si>
  <si>
    <t>fixed_minutes</t>
  </si>
  <si>
    <t>Traffic (minutes) in the busy hour</t>
  </si>
  <si>
    <t>Here, traffic in the busy hour is calculated using the proportion of traffic in the busy hour assumption, and we also take into account call idle time (excluding on-net factor)</t>
  </si>
  <si>
    <t>fixed_minutes_busy_hour</t>
  </si>
  <si>
    <t>We now add an on-net factor for the call per second calculations below</t>
  </si>
  <si>
    <t>fixed_minutes_busy_hour_onnet_factor</t>
  </si>
  <si>
    <t>Calls per hour in the busy hour</t>
  </si>
  <si>
    <t>Now, we calculate calls per hour for calls transiting the core (no on-net factor, for IX demand)</t>
  </si>
  <si>
    <t>A Baseline</t>
  </si>
  <si>
    <t>fixed_calls_service</t>
  </si>
  <si>
    <t>Total</t>
  </si>
  <si>
    <t>fixed_calls_per_hour</t>
  </si>
  <si>
    <t>fixed_calls_per_hour_noincoming</t>
  </si>
  <si>
    <t>Then, we calculate calls per hour for calls including an on-net factor (for CSCF, MRF, access SBC)</t>
  </si>
  <si>
    <t>fixed_calls_service_onnet_factor</t>
  </si>
  <si>
    <t>fixed_calls_per_hour_onnet_factor</t>
  </si>
  <si>
    <t>fixed_calls_per_hour_onnet_factor_noincoming</t>
  </si>
  <si>
    <t>Busy hour call attempts - for CDF demand</t>
  </si>
  <si>
    <t>We also need to add in calls attempted but not completed - no onnet_factor for CDf</t>
  </si>
  <si>
    <t>busy_hour_call_attempts</t>
  </si>
  <si>
    <t>busy_hour_call_attempts_noincoming</t>
  </si>
  <si>
    <t>Calls per second / concurrent sessions</t>
  </si>
  <si>
    <t>We calculate calls per second by dividing busy hour minutes by 60 seconds (excluding on-net factor for IX SBCs)</t>
  </si>
  <si>
    <t>Total - through core - excluding on-net factor</t>
  </si>
  <si>
    <t>fixed_calls_persecond</t>
  </si>
  <si>
    <t>fixed_calls_persecond_noincoming</t>
  </si>
  <si>
    <t>We calculate calls per second by dividing busy hour minutes by 60 seconds (including on-net factor for access SBCs and AS)</t>
  </si>
  <si>
    <t>Total - through core - including on-net factor</t>
  </si>
  <si>
    <t>fixed_calls_persecond_onnet_factor</t>
  </si>
  <si>
    <t>fixed_calls_persecond_onnet_factor_noincoming</t>
  </si>
  <si>
    <t>Inbound minutes for LRIC calculation</t>
  </si>
  <si>
    <t>Incoming minutes</t>
  </si>
  <si>
    <t>Minutes</t>
  </si>
  <si>
    <t>fixed_minutes_incoming</t>
  </si>
  <si>
    <t>Step 4b - Network element demand - core network</t>
  </si>
  <si>
    <t>This tab contains the number of network elements to be used as inputs in the capital and operating cost calculations of the model</t>
  </si>
  <si>
    <t>Maximum load of core network</t>
  </si>
  <si>
    <t>max_load</t>
  </si>
  <si>
    <t>Redundancy factor</t>
  </si>
  <si>
    <t>redundancy</t>
  </si>
  <si>
    <t>B No incoming voice</t>
  </si>
  <si>
    <t>First, we consider the total number of core network elements required, including the maximum load and redundancy factors</t>
  </si>
  <si>
    <t>We also apply the on-net factor to the access SBCs</t>
  </si>
  <si>
    <t>Network element</t>
  </si>
  <si>
    <t>Derivation</t>
  </si>
  <si>
    <t>Application server hardware</t>
  </si>
  <si>
    <t>On-net factor</t>
  </si>
  <si>
    <t>Application server software</t>
  </si>
  <si>
    <t>Charging data function hardware</t>
  </si>
  <si>
    <t>No on-net factor</t>
  </si>
  <si>
    <t>Charging data function software</t>
  </si>
  <si>
    <t>Proxy - Call session control function hardware</t>
  </si>
  <si>
    <t>Proxy - Call session control function software</t>
  </si>
  <si>
    <t>Interrogating - Call session control function hardware</t>
  </si>
  <si>
    <t>Interrogating - Call session control function software</t>
  </si>
  <si>
    <t>Serving - Call session control function hardware</t>
  </si>
  <si>
    <t>Serving - Call session control function software</t>
  </si>
  <si>
    <t>Media resource function - hardware</t>
  </si>
  <si>
    <t>Media resource function - software</t>
  </si>
  <si>
    <t>Access session border controller - hardware</t>
  </si>
  <si>
    <t>Access session border controller - software</t>
  </si>
  <si>
    <t>Internet exchange point session border controller - hardware</t>
  </si>
  <si>
    <t>Internet exchange point session border controller - software</t>
  </si>
  <si>
    <t>core_number</t>
  </si>
  <si>
    <t>core_number_noincoming_voice</t>
  </si>
  <si>
    <t>core_elements</t>
  </si>
  <si>
    <t>Note: different fixed line networks may use different layers of the IP Multimedia Subsystem.</t>
  </si>
  <si>
    <t>The number of units to buy are calculated for each year, taking into account that repciaited units will have to be replaced</t>
  </si>
  <si>
    <t>Depreciation period</t>
  </si>
  <si>
    <t>core_increm</t>
  </si>
  <si>
    <t>core_increm_noincoming</t>
  </si>
  <si>
    <t xml:space="preserve">Step 4 - Capital costs </t>
  </si>
  <si>
    <t>Summary</t>
  </si>
  <si>
    <t>Financial inputs</t>
  </si>
  <si>
    <t>Percentage of capital that is debt</t>
  </si>
  <si>
    <t>debt_perc</t>
  </si>
  <si>
    <t>Exchange rate (USD/ZAR)</t>
  </si>
  <si>
    <t>Exchange rate (GBP/ZAR)</t>
  </si>
  <si>
    <t>Exchange rate (EUR/ZAR)</t>
  </si>
  <si>
    <t>Inflation</t>
  </si>
  <si>
    <t>inflation</t>
  </si>
  <si>
    <t>Inflation index</t>
  </si>
  <si>
    <t>inflation_index</t>
  </si>
  <si>
    <t>Cost of debt - nominal</t>
  </si>
  <si>
    <t>Cost of equity</t>
  </si>
  <si>
    <t>Real WACC - pre-tax</t>
  </si>
  <si>
    <t>Nominal WACC - pre-tax</t>
  </si>
  <si>
    <t xml:space="preserve">WACC index </t>
  </si>
  <si>
    <t>wacc_index</t>
  </si>
  <si>
    <t>This is used to convert Euro's into United States Dollars. Exchange rate on 04.04.2023</t>
  </si>
  <si>
    <t>EUR/USD Exchange Rate</t>
  </si>
  <si>
    <t>USD</t>
  </si>
  <si>
    <t>EUR.USD_rate</t>
  </si>
  <si>
    <t xml:space="preserve">Core network </t>
  </si>
  <si>
    <t>Discounted</t>
  </si>
  <si>
    <t>unit_costs_core</t>
  </si>
  <si>
    <t>Total costs</t>
  </si>
  <si>
    <t>core_costs</t>
  </si>
  <si>
    <t>core_costs_noincoming</t>
  </si>
  <si>
    <t>Discounted costs</t>
  </si>
  <si>
    <t>Step 5 - Operating and maintence costs</t>
  </si>
  <si>
    <t>Core</t>
  </si>
  <si>
    <t>Core network opex</t>
  </si>
  <si>
    <t>Core total opex costs</t>
  </si>
  <si>
    <t>core_total_costs</t>
  </si>
  <si>
    <t>core_total_costs_noincoming</t>
  </si>
  <si>
    <t>PV of opex costs</t>
  </si>
  <si>
    <t>6 - termination costs</t>
  </si>
  <si>
    <t xml:space="preserve">This is a header tab, and has been left blank intentionally. </t>
  </si>
  <si>
    <t>Volume projections based on ITU data</t>
  </si>
  <si>
    <t>Annual volume growth</t>
  </si>
  <si>
    <t>% of fixed traffic that is on-net</t>
  </si>
  <si>
    <t>On-net fixed to fixed traffic</t>
  </si>
  <si>
    <t>Off-net fixed to fixed traffic</t>
  </si>
  <si>
    <t>State of the ICT Sector Data</t>
  </si>
  <si>
    <t xml:space="preserve">Source: 2021 State of the ICT Sector Report </t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</si>
  <si>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All Graphs with annual figures are for the 12 months ending 30 September each year </t>
    </r>
  </si>
  <si>
    <t>Graph 7: Telecommunications Revenue</t>
  </si>
  <si>
    <t xml:space="preserve">page 18 </t>
  </si>
  <si>
    <t xml:space="preserve">Total telecommunication revenue </t>
  </si>
  <si>
    <t xml:space="preserve">Total mobile services revenue (Rm) </t>
  </si>
  <si>
    <t>Total of any other revenue</t>
  </si>
  <si>
    <t xml:space="preserve">Total fixed internet and data revenue </t>
  </si>
  <si>
    <t xml:space="preserve">Total fixed line revenue </t>
  </si>
  <si>
    <t>Graph 8: Mobile services revenue</t>
  </si>
  <si>
    <t xml:space="preserve">page 19 </t>
  </si>
  <si>
    <t xml:space="preserve">Revenue from mobile data services </t>
  </si>
  <si>
    <t>Revenue from voice services</t>
  </si>
  <si>
    <t xml:space="preserve">Other mobile services revenue </t>
  </si>
  <si>
    <t xml:space="preserve">Revenue from text and MMS </t>
  </si>
  <si>
    <t>Revenue from outbound roaming (R)</t>
  </si>
  <si>
    <t>Graph 9: Fixed internet and data revenue</t>
  </si>
  <si>
    <t xml:space="preserve">page 20 </t>
  </si>
  <si>
    <t xml:space="preserve">Revenue from fixed (wired) broadband services </t>
  </si>
  <si>
    <t>Fixed Internet Revenue ®</t>
  </si>
  <si>
    <t xml:space="preserve">Other telecommunication services revenue, including leased lines revenue and fixed value-added telecommunication services </t>
  </si>
  <si>
    <t xml:space="preserve">Other wireless-broadband services revenue </t>
  </si>
  <si>
    <t xml:space="preserve">Graph 10: Total Fixed Line Revenue </t>
  </si>
  <si>
    <t>page 21</t>
  </si>
  <si>
    <t>Total fixed line revenue</t>
  </si>
  <si>
    <t>Revenue from fixed-telephone subscription changes</t>
  </si>
  <si>
    <t xml:space="preserve">Revenue from fixed-telephone calls </t>
  </si>
  <si>
    <t xml:space="preserve">Revenue from retail fixed-telephone services </t>
  </si>
  <si>
    <t xml:space="preserve">Graph 11: Prepaid mobile voice, data and messaging revenue </t>
  </si>
  <si>
    <t>page 22</t>
  </si>
  <si>
    <t xml:space="preserve">Prepaid revenue mobile voice </t>
  </si>
  <si>
    <t>Prepaid revenue mobile data</t>
  </si>
  <si>
    <t xml:space="preserve">Prepaid revenue mobile messaging </t>
  </si>
  <si>
    <t xml:space="preserve">Graph 15: National Population coverage for 3G, 4G/LTE and 5G </t>
  </si>
  <si>
    <t>3G Population Coverage</t>
  </si>
  <si>
    <t>4G/LTE Population Coverage</t>
  </si>
  <si>
    <t>5G Coverage</t>
  </si>
  <si>
    <t xml:space="preserve">Graph 18: Mobile Cellular and Smartphone Subscriptions </t>
  </si>
  <si>
    <t>page 32</t>
  </si>
  <si>
    <t xml:space="preserve">Mobile cellular subscriptions </t>
  </si>
  <si>
    <t>Smartphone subscriptions</t>
  </si>
  <si>
    <t>Graph 23: Prepaid and post-paid mobile cellular voice subscriptions</t>
  </si>
  <si>
    <t>page 37</t>
  </si>
  <si>
    <t>Total mobile cellular subscriptions</t>
  </si>
  <si>
    <t xml:space="preserve">Prepaid mobile-cellular telephone subscriptions </t>
  </si>
  <si>
    <t xml:space="preserve">Postpaid mobile-cellular telephone subscriptions </t>
  </si>
  <si>
    <t xml:space="preserve">Graph 24: Mobile cellular active subscriptions (Active for more than 90 days) </t>
  </si>
  <si>
    <t xml:space="preserve">page 38 </t>
  </si>
  <si>
    <t xml:space="preserve">Mobile cellular active subscriptions </t>
  </si>
  <si>
    <t xml:space="preserve">Graph 27: Fixed broadband subscriptions </t>
  </si>
  <si>
    <t>page 41</t>
  </si>
  <si>
    <t xml:space="preserve">Fixed broadband subscriptions </t>
  </si>
  <si>
    <t xml:space="preserve">Fibre-to-the-home/building Internet subscriptions </t>
  </si>
  <si>
    <t>DSL internet subscriptions</t>
  </si>
  <si>
    <t xml:space="preserve">Other fixed (wired) - broadband subscriptions </t>
  </si>
  <si>
    <t>Graph 30: Fixed line traffic, in minutes, for the 12 month period ending 30 September each year</t>
  </si>
  <si>
    <t>page 44</t>
  </si>
  <si>
    <t xml:space="preserve">Total fixed line traffic </t>
  </si>
  <si>
    <t>Local fixed-to-fixed telephone traffic, in minutes</t>
  </si>
  <si>
    <t>Long-distance fixed-to-fixed telephone traffic, in minutes</t>
  </si>
  <si>
    <t xml:space="preserve">Graph 31: Fixed-to-mobile telephone traffic minutes </t>
  </si>
  <si>
    <t xml:space="preserve">page 45 </t>
  </si>
  <si>
    <t xml:space="preserve">ITU Data on Traffic Volumes </t>
  </si>
  <si>
    <t xml:space="preserve">Source: ITU Datahub </t>
  </si>
  <si>
    <t xml:space="preserve">https://datahub.itu.int/data/?id=2&amp;e=ZAF&amp;i=54 </t>
  </si>
  <si>
    <t xml:space="preserve">Domestic Fixed to fixed telephone traffic </t>
  </si>
  <si>
    <t>Fixed to Mobile Telephone traffic</t>
  </si>
  <si>
    <t xml:space="preserve">International incoming fixed telephone traffic </t>
  </si>
  <si>
    <t>International outgoing fixed telephone traffic</t>
  </si>
  <si>
    <t xml:space="preserve">International incoming and outgoing fixed-telephone traffic </t>
  </si>
  <si>
    <t>Outgoing mobile traffic to fixed networks</t>
  </si>
  <si>
    <t>Note: 2018 fixed to fixed traffic of 15099900000 appears to be an outlier and so the average of 2019 and 2017 were used.</t>
  </si>
  <si>
    <t>Note: 2018 traffic appear to be low and may not reflect all the changes in new fibre operators, so increased volumes by:</t>
  </si>
  <si>
    <t>Note: 2020 traffic appear to be low and may not reflect all the changes in new fibre operators, so increased volumes by:</t>
  </si>
  <si>
    <t>Note: 2021 traffic appear to be low and may not reflect all the changes in new fibre operators, so increased volumes by:</t>
  </si>
  <si>
    <t>Core network element costs</t>
  </si>
  <si>
    <t>Capex price trend</t>
  </si>
  <si>
    <t>Opex price trend</t>
  </si>
  <si>
    <t>Opex price index</t>
  </si>
  <si>
    <t>Opex as a % of capex</t>
  </si>
  <si>
    <t>Note: If the data are available, we can consider opex per item</t>
  </si>
  <si>
    <t>Core network elements - unit capital expenditure costs</t>
  </si>
  <si>
    <t>unit_costs_core_capex</t>
  </si>
  <si>
    <t>Core network elements - unit operating costs</t>
  </si>
  <si>
    <t>unit_costs_core_opex</t>
  </si>
  <si>
    <t>ERLANG B table</t>
  </si>
  <si>
    <t>Macroeconomic data</t>
  </si>
  <si>
    <t>Country</t>
  </si>
  <si>
    <t>Subject Descriptor</t>
  </si>
  <si>
    <t>South Africa</t>
  </si>
  <si>
    <t>Headline CPI (YoY rates)</t>
  </si>
  <si>
    <t>Source</t>
  </si>
  <si>
    <t>StatsSA (2013-2022)</t>
  </si>
  <si>
    <t>https://www.statssa.gov.za/publications/P0141/CPIHistory.pdf?</t>
  </si>
  <si>
    <t>SARB (2023-2025)</t>
  </si>
  <si>
    <t>https://www.resbank.co.za/content/dam/sarb/publications/statements/monetary-policy-statements/2023/january-/Forecast%20January%202023.pdf</t>
  </si>
  <si>
    <t xml:space="preserve">2026-2048: Assumed the SARB's steady state of 4.5% </t>
  </si>
  <si>
    <t>Assume SARB's annual forecasts are average rates.</t>
  </si>
  <si>
    <t>Risk free rate</t>
  </si>
  <si>
    <t>Tenure</t>
  </si>
  <si>
    <t>91 days</t>
  </si>
  <si>
    <t>Treasury bill</t>
  </si>
  <si>
    <t>364-day</t>
  </si>
  <si>
    <t>3-5 years (average bond yields)</t>
  </si>
  <si>
    <t>Bonds</t>
  </si>
  <si>
    <t>5-10 years (average bond yields)</t>
  </si>
  <si>
    <t>10 years and longer (average bond yields)</t>
  </si>
  <si>
    <t>SARB: Treasury and bond yields</t>
  </si>
  <si>
    <t>https://www.resbank.co.za/en/home/what-we-do/statistics/key-statistics/current-market-rates</t>
  </si>
  <si>
    <t>Treasury yields as at 20/02/2023</t>
  </si>
  <si>
    <t>Bond yields as at 21/02/2023</t>
  </si>
  <si>
    <t>Average annual exchange rate</t>
  </si>
  <si>
    <t>USD/ZAR</t>
  </si>
  <si>
    <t>GBP/ZAR</t>
  </si>
  <si>
    <t>EUR/ZAR</t>
  </si>
  <si>
    <t>Compound Annual Growth Rate (USD/ZAR)</t>
  </si>
  <si>
    <t>2026-2030</t>
  </si>
  <si>
    <t>2031-2035</t>
  </si>
  <si>
    <t>Compound Annual Growth Rate (GBP/ZAR)</t>
  </si>
  <si>
    <t>Compound Annual Growth Rate (EUR/ZAR)</t>
  </si>
  <si>
    <t>We assume the exchange rates for 2036-2048 will take on a steady state value equal to the exchange rate as at 2035.</t>
  </si>
  <si>
    <t>Annualising Investec's average exchange rate figures</t>
  </si>
  <si>
    <t>Q1</t>
  </si>
  <si>
    <t>Q2</t>
  </si>
  <si>
    <t>Q3</t>
  </si>
  <si>
    <t>Q4</t>
  </si>
  <si>
    <t>USD/ZAR (Investec)</t>
  </si>
  <si>
    <t>Annual rate</t>
  </si>
  <si>
    <t>GBP/ZAR (Investec)</t>
  </si>
  <si>
    <t>EUR/ZAR (Investec)</t>
  </si>
  <si>
    <t>2013-2022 average annual exchange rates were derived from the SARB's daily exchange rate data</t>
  </si>
  <si>
    <t>https://www,resbank,co,za/en/home/what-we-do/statistics/key-statistics/selected-historical-rates</t>
  </si>
  <si>
    <t>2023-2025 rates are from Investec.</t>
  </si>
  <si>
    <t>https://www.investec.com/content/dam/south-africa/content-hub/annabel-bishop/rand-note/rand-note-20-feb-2023.pdf</t>
  </si>
  <si>
    <t>2026-2030: We assume the exchange rate grows at the same compounding annual growth rate over the 2018-2025 period (7 years).</t>
  </si>
  <si>
    <t>2031-2035: We assume the growth rate for this period to be half that of the 2026-2030 period.</t>
  </si>
  <si>
    <t>Lists</t>
  </si>
  <si>
    <t>growth_scenarios</t>
  </si>
  <si>
    <t>Low growth scenario</t>
  </si>
  <si>
    <t>High growth scenario</t>
  </si>
  <si>
    <t>years</t>
  </si>
  <si>
    <t>Operator Confidential Data</t>
  </si>
  <si>
    <t>[Placeholder for operator data]</t>
  </si>
  <si>
    <t>Currency scenario</t>
  </si>
  <si>
    <t>Low scenario</t>
  </si>
  <si>
    <t>Currency_scenario</t>
  </si>
  <si>
    <t>Base scenario</t>
  </si>
  <si>
    <t>High scenario</t>
  </si>
  <si>
    <t>Incoming fixed to fixed traffic</t>
  </si>
  <si>
    <t>Bottom-up long-run incremental cost model - fixed</t>
  </si>
  <si>
    <t>pure_lric</t>
  </si>
  <si>
    <t>Pure LRIC termination cost</t>
  </si>
  <si>
    <t>Assets</t>
  </si>
  <si>
    <t>Revenues</t>
  </si>
  <si>
    <t>In this tab, the revenue outcomes from the tariffs and tariff profile are computed.</t>
  </si>
  <si>
    <t>Pure LRIC revenues</t>
  </si>
  <si>
    <t>PV of pure LRIC revenues</t>
  </si>
  <si>
    <t>PV of pure LRIC revenues - total</t>
  </si>
  <si>
    <t>lric_revenues</t>
  </si>
  <si>
    <t>LRAIC revenues</t>
  </si>
  <si>
    <t>PV of LRAIC revenues</t>
  </si>
  <si>
    <t>PV of LRAIC revenues - total</t>
  </si>
  <si>
    <t>LRAIC plus revenues</t>
  </si>
  <si>
    <t>PV of LRAIC plus revenues</t>
  </si>
  <si>
    <t>PV of LRAIC plus revenues - total</t>
  </si>
  <si>
    <t>lraic_revenues</t>
  </si>
  <si>
    <t>lraic_plus_revenues</t>
  </si>
  <si>
    <t>Network operating expenditure and depreciation</t>
  </si>
  <si>
    <t>Depreciation</t>
  </si>
  <si>
    <t>Total network operating expenditure plus depreciation</t>
  </si>
  <si>
    <t>The historical and book value of the assets purchased in each year are shown here.</t>
  </si>
  <si>
    <t>Opening value</t>
  </si>
  <si>
    <t>Purchases</t>
  </si>
  <si>
    <t>Value during year</t>
  </si>
  <si>
    <t>Depreciation - straight line</t>
  </si>
  <si>
    <t>Closing value</t>
  </si>
  <si>
    <t>depreciation_straightline</t>
  </si>
  <si>
    <t>Difference in incoming and outgoing costs</t>
  </si>
  <si>
    <t>Capex</t>
  </si>
  <si>
    <t>Opex</t>
  </si>
  <si>
    <t>Incoming volumes:</t>
  </si>
  <si>
    <t>PV of incoming volumes</t>
  </si>
  <si>
    <t>PV of costs</t>
  </si>
  <si>
    <t>PV</t>
  </si>
  <si>
    <t>Asset beta</t>
  </si>
  <si>
    <t>Debt Premium</t>
  </si>
  <si>
    <t>Nominal WACC - post-tax</t>
  </si>
  <si>
    <t>Company tax rate</t>
  </si>
  <si>
    <t>Risk free rate in SA - 10 year government bond</t>
  </si>
  <si>
    <t>South Africa — Orbitax Corporate Tax Rates</t>
  </si>
  <si>
    <t xml:space="preserve">The tax rate dropped on 1 August 2022. </t>
  </si>
  <si>
    <r>
      <t xml:space="preserve">South Africa 10 Years Bond - Historical Data - </t>
    </r>
    <r>
      <rPr>
        <b/>
        <i/>
        <u/>
        <sz val="11"/>
        <color theme="10"/>
        <rFont val="Calibri"/>
        <family val="2"/>
        <scheme val="minor"/>
      </rPr>
      <t>http://www.worldgovernmentbonds.com/bond-historical-data/south-africa/10-years/</t>
    </r>
  </si>
  <si>
    <t>The rate on 31 December was used for 2018-2022 and the rate on 24 August was used for 2023. The 2023 rate was assumed to apply to the remaining years.</t>
  </si>
  <si>
    <t>Equity risk premium</t>
  </si>
  <si>
    <t xml:space="preserve">This is a header tab and has been left blank intentionally.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</si>
</sst>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0.0%"/>
    <numFmt numFmtId="168" formatCode="_-* #,##0_-;\-* #,##0_-;_-* &quot;-&quot;?_-;_-@_-"/>
    <numFmt numFmtId="169" formatCode="_-* #,##0.0_-;\-* #,##0.0_-;_-* &quot;-&quot;??_-;_-@_-"/>
    <numFmt numFmtId="170" formatCode="_-* #,##0.0_-;\-* #,##0.0_-;_-* &quot;-&quot;?_-;_-@_-"/>
    <numFmt numFmtId="171" formatCode="0.0000"/>
    <numFmt numFmtId="172" formatCode="_-* #,##0_-;\-* #,##0_-;_-* &quot;-&quot;???_-;_-@_-"/>
    <numFmt numFmtId="173" formatCode="* _(#,##0_);[Red]* \(#,##0\);* _(&quot;-&quot;?_);@_)"/>
    <numFmt numFmtId="174" formatCode="#,##0_);[Red]\-#,##0_);0_);@_)"/>
    <numFmt numFmtId="175" formatCode="0.0000%"/>
    <numFmt numFmtId="176" formatCode="_-[$R-1C09]* #,##0.00_-;\-[$R-1C09]* #,##0.00_-;_-[$R-1C09]* &quot;-&quot;??_-;_-@_-"/>
    <numFmt numFmtId="177" formatCode="_-* #,##0.0000_-;\-* #,##0.0000_-;_-* &quot;-&quot;??_-;_-@_-"/>
    <numFmt numFmtId="178" formatCode="_-[$R-1C09]* #,##0_-;\-[$R-1C09]* #,##0_-;_-[$R-1C09]* &quot;-&quot;??_-;_-@_-"/>
    <numFmt numFmtId="179" formatCode="0.000"/>
  </numFmts>
  <fonts count="3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38" fontId="13" fillId="0" borderId="15">
      <alignment vertical="center"/>
      <protection locked="0"/>
    </xf>
    <xf numFmtId="0" fontId="15" fillId="4" borderId="0" applyNumberFormat="0" applyAlignment="0">
      <alignment vertical="center"/>
    </xf>
    <xf numFmtId="0" fontId="15" fillId="0" borderId="15" applyNumberFormat="0" applyAlignment="0">
      <alignment vertical="center"/>
      <protection locked="0"/>
    </xf>
    <xf numFmtId="173" fontId="15" fillId="0" borderId="0" applyFont="0" applyFill="0" applyBorder="0" applyAlignment="0" applyProtection="0">
      <alignment vertical="center"/>
    </xf>
    <xf numFmtId="0" fontId="15" fillId="6" borderId="0" applyNumberFormat="0" applyFont="0" applyBorder="0" applyAlignment="0" applyProtection="0">
      <alignment vertical="center"/>
    </xf>
    <xf numFmtId="0" fontId="15" fillId="0" borderId="17" applyNumberFormat="0" applyAlignment="0">
      <alignment vertical="center"/>
    </xf>
    <xf numFmtId="174" fontId="15" fillId="7" borderId="15" applyNumberFormat="0" applyAlignment="0">
      <alignment vertical="center"/>
      <protection locked="0"/>
    </xf>
    <xf numFmtId="0" fontId="15" fillId="5" borderId="0" applyNumberFormat="0" applyAlignment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0" applyNumberFormat="0">
      <alignment horizontal="center" vertical="top" wrapText="1"/>
    </xf>
    <xf numFmtId="173" fontId="15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0" applyFont="1"/>
    <xf numFmtId="0" fontId="4" fillId="0" borderId="0" xfId="0" applyFont="1"/>
    <xf numFmtId="2" fontId="0" fillId="0" borderId="9" xfId="0" applyNumberFormat="1" applyBorder="1"/>
    <xf numFmtId="166" fontId="0" fillId="0" borderId="9" xfId="0" applyNumberFormat="1" applyBorder="1"/>
    <xf numFmtId="166" fontId="0" fillId="0" borderId="9" xfId="1" applyNumberFormat="1" applyFont="1" applyBorder="1"/>
    <xf numFmtId="0" fontId="10" fillId="0" borderId="0" xfId="0" applyFont="1"/>
    <xf numFmtId="0" fontId="0" fillId="0" borderId="10" xfId="0" applyBorder="1"/>
    <xf numFmtId="0" fontId="0" fillId="0" borderId="9" xfId="0" applyBorder="1"/>
    <xf numFmtId="9" fontId="0" fillId="2" borderId="9" xfId="0" applyNumberFormat="1" applyFill="1" applyBorder="1"/>
    <xf numFmtId="43" fontId="0" fillId="0" borderId="9" xfId="1" applyFont="1" applyBorder="1"/>
    <xf numFmtId="0" fontId="0" fillId="2" borderId="9" xfId="0" applyFill="1" applyBorder="1"/>
    <xf numFmtId="1" fontId="0" fillId="0" borderId="9" xfId="0" applyNumberFormat="1" applyBorder="1"/>
    <xf numFmtId="1" fontId="0" fillId="0" borderId="9" xfId="1" applyNumberFormat="1" applyFont="1" applyBorder="1"/>
    <xf numFmtId="166" fontId="0" fillId="0" borderId="9" xfId="1" applyNumberFormat="1" applyFont="1" applyFill="1" applyBorder="1"/>
    <xf numFmtId="0" fontId="20" fillId="0" borderId="9" xfId="0" applyFont="1" applyBorder="1" applyAlignment="1">
      <alignment horizontal="right" vertical="center" wrapText="1" readingOrder="1"/>
    </xf>
    <xf numFmtId="0" fontId="7" fillId="9" borderId="0" xfId="0" applyFont="1" applyFill="1" applyAlignment="1">
      <alignment vertical="center"/>
    </xf>
    <xf numFmtId="0" fontId="0" fillId="9" borderId="0" xfId="0" applyFill="1"/>
    <xf numFmtId="0" fontId="10" fillId="9" borderId="0" xfId="0" applyFont="1" applyFill="1" applyAlignment="1">
      <alignment wrapText="1"/>
    </xf>
    <xf numFmtId="0" fontId="4" fillId="9" borderId="9" xfId="0" applyFont="1" applyFill="1" applyBorder="1"/>
    <xf numFmtId="0" fontId="10" fillId="9" borderId="0" xfId="0" applyFont="1" applyFill="1"/>
    <xf numFmtId="166" fontId="0" fillId="9" borderId="9" xfId="0" applyNumberFormat="1" applyFill="1" applyBorder="1"/>
    <xf numFmtId="0" fontId="0" fillId="9" borderId="9" xfId="0" applyFill="1" applyBorder="1"/>
    <xf numFmtId="0" fontId="9" fillId="9" borderId="0" xfId="0" applyFont="1" applyFill="1"/>
    <xf numFmtId="0" fontId="6" fillId="9" borderId="0" xfId="3" applyFill="1"/>
    <xf numFmtId="0" fontId="6" fillId="9" borderId="0" xfId="3" applyFill="1" applyBorder="1"/>
    <xf numFmtId="0" fontId="4" fillId="9" borderId="0" xfId="0" applyFont="1" applyFill="1"/>
    <xf numFmtId="0" fontId="4" fillId="9" borderId="11" xfId="0" applyFont="1" applyFill="1" applyBorder="1"/>
    <xf numFmtId="166" fontId="0" fillId="9" borderId="0" xfId="0" applyNumberFormat="1" applyFill="1"/>
    <xf numFmtId="10" fontId="0" fillId="9" borderId="0" xfId="0" applyNumberFormat="1" applyFill="1"/>
    <xf numFmtId="10" fontId="0" fillId="9" borderId="9" xfId="0" applyNumberFormat="1" applyFill="1" applyBorder="1"/>
    <xf numFmtId="166" fontId="0" fillId="9" borderId="9" xfId="1" applyNumberFormat="1" applyFont="1" applyFill="1" applyBorder="1"/>
    <xf numFmtId="0" fontId="24" fillId="10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0" fontId="4" fillId="10" borderId="9" xfId="0" applyFont="1" applyFill="1" applyBorder="1"/>
    <xf numFmtId="0" fontId="4" fillId="10" borderId="11" xfId="0" applyFont="1" applyFill="1" applyBorder="1"/>
    <xf numFmtId="0" fontId="4" fillId="10" borderId="9" xfId="0" applyFont="1" applyFill="1" applyBorder="1" applyAlignment="1">
      <alignment wrapText="1"/>
    </xf>
    <xf numFmtId="10" fontId="4" fillId="10" borderId="9" xfId="0" applyNumberFormat="1" applyFont="1" applyFill="1" applyBorder="1" applyAlignment="1">
      <alignment wrapText="1"/>
    </xf>
    <xf numFmtId="0" fontId="0" fillId="9" borderId="11" xfId="0" applyFill="1" applyBorder="1"/>
    <xf numFmtId="0" fontId="4" fillId="9" borderId="1" xfId="0" applyFont="1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0" xfId="0" applyFill="1" applyAlignment="1">
      <alignment wrapText="1"/>
    </xf>
    <xf numFmtId="0" fontId="0" fillId="9" borderId="10" xfId="0" applyFill="1" applyBorder="1"/>
    <xf numFmtId="10" fontId="0" fillId="9" borderId="9" xfId="2" applyNumberFormat="1" applyFont="1" applyFill="1" applyBorder="1" applyAlignment="1">
      <alignment wrapText="1"/>
    </xf>
    <xf numFmtId="0" fontId="0" fillId="9" borderId="9" xfId="0" applyFill="1" applyBorder="1" applyAlignment="1">
      <alignment wrapText="1"/>
    </xf>
    <xf numFmtId="0" fontId="0" fillId="9" borderId="4" xfId="0" applyFill="1" applyBorder="1" applyAlignment="1">
      <alignment wrapText="1"/>
    </xf>
    <xf numFmtId="0" fontId="0" fillId="9" borderId="16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4" fillId="9" borderId="9" xfId="0" applyFont="1" applyFill="1" applyBorder="1" applyAlignment="1">
      <alignment horizontal="center"/>
    </xf>
    <xf numFmtId="0" fontId="4" fillId="10" borderId="0" xfId="0" applyFont="1" applyFill="1"/>
    <xf numFmtId="0" fontId="0" fillId="10" borderId="0" xfId="0" applyFill="1"/>
    <xf numFmtId="0" fontId="25" fillId="10" borderId="0" xfId="0" applyFont="1" applyFill="1"/>
    <xf numFmtId="0" fontId="26" fillId="10" borderId="0" xfId="0" applyFont="1" applyFill="1"/>
    <xf numFmtId="0" fontId="4" fillId="10" borderId="9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0" fillId="10" borderId="9" xfId="0" applyFill="1" applyBorder="1" applyAlignment="1">
      <alignment wrapText="1"/>
    </xf>
    <xf numFmtId="0" fontId="25" fillId="10" borderId="0" xfId="0" applyFont="1" applyFill="1" applyAlignment="1">
      <alignment wrapText="1"/>
    </xf>
    <xf numFmtId="0" fontId="4" fillId="9" borderId="0" xfId="0" applyFont="1" applyFill="1" applyAlignment="1">
      <alignment wrapText="1"/>
    </xf>
    <xf numFmtId="0" fontId="22" fillId="9" borderId="0" xfId="0" applyFont="1" applyFill="1" applyAlignment="1">
      <alignment wrapText="1"/>
    </xf>
    <xf numFmtId="0" fontId="4" fillId="9" borderId="4" xfId="0" applyFont="1" applyFill="1" applyBorder="1"/>
    <xf numFmtId="176" fontId="0" fillId="9" borderId="0" xfId="0" applyNumberFormat="1" applyFill="1"/>
    <xf numFmtId="167" fontId="0" fillId="9" borderId="9" xfId="2" applyNumberFormat="1" applyFont="1" applyFill="1" applyBorder="1"/>
    <xf numFmtId="10" fontId="0" fillId="9" borderId="0" xfId="0" applyNumberFormat="1" applyFill="1" applyAlignment="1">
      <alignment wrapText="1"/>
    </xf>
    <xf numFmtId="10" fontId="4" fillId="9" borderId="0" xfId="0" applyNumberFormat="1" applyFont="1" applyFill="1" applyAlignment="1">
      <alignment wrapText="1"/>
    </xf>
    <xf numFmtId="10" fontId="4" fillId="9" borderId="0" xfId="0" applyNumberFormat="1" applyFont="1" applyFill="1"/>
    <xf numFmtId="166" fontId="4" fillId="9" borderId="0" xfId="0" applyNumberFormat="1" applyFont="1" applyFill="1"/>
    <xf numFmtId="0" fontId="0" fillId="10" borderId="9" xfId="0" applyFill="1" applyBorder="1" applyAlignment="1">
      <alignment horizontal="center"/>
    </xf>
    <xf numFmtId="0" fontId="14" fillId="9" borderId="0" xfId="0" applyFont="1" applyFill="1" applyAlignment="1">
      <alignment wrapText="1"/>
    </xf>
    <xf numFmtId="0" fontId="9" fillId="9" borderId="0" xfId="0" applyFont="1" applyFill="1" applyAlignment="1">
      <alignment wrapText="1"/>
    </xf>
    <xf numFmtId="178" fontId="0" fillId="9" borderId="9" xfId="0" applyNumberFormat="1" applyFill="1" applyBorder="1"/>
    <xf numFmtId="178" fontId="0" fillId="9" borderId="11" xfId="0" applyNumberFormat="1" applyFill="1" applyBorder="1"/>
    <xf numFmtId="178" fontId="0" fillId="9" borderId="16" xfId="0" applyNumberFormat="1" applyFill="1" applyBorder="1"/>
    <xf numFmtId="166" fontId="0" fillId="9" borderId="10" xfId="1" applyNumberFormat="1" applyFont="1" applyFill="1" applyBorder="1"/>
    <xf numFmtId="43" fontId="0" fillId="9" borderId="0" xfId="1" applyFont="1" applyFill="1"/>
    <xf numFmtId="166" fontId="9" fillId="9" borderId="9" xfId="1" applyNumberFormat="1" applyFont="1" applyFill="1" applyBorder="1"/>
    <xf numFmtId="166" fontId="0" fillId="9" borderId="10" xfId="0" applyNumberFormat="1" applyFill="1" applyBorder="1"/>
    <xf numFmtId="166" fontId="0" fillId="9" borderId="0" xfId="1" applyNumberFormat="1" applyFont="1" applyFill="1" applyBorder="1"/>
    <xf numFmtId="169" fontId="0" fillId="9" borderId="0" xfId="1" applyNumberFormat="1" applyFont="1" applyFill="1" applyBorder="1"/>
    <xf numFmtId="170" fontId="0" fillId="9" borderId="9" xfId="0" applyNumberFormat="1" applyFill="1" applyBorder="1"/>
    <xf numFmtId="169" fontId="0" fillId="9" borderId="9" xfId="0" applyNumberFormat="1" applyFill="1" applyBorder="1"/>
    <xf numFmtId="2" fontId="0" fillId="9" borderId="0" xfId="0" applyNumberFormat="1" applyFill="1"/>
    <xf numFmtId="171" fontId="0" fillId="9" borderId="9" xfId="0" applyNumberFormat="1" applyFill="1" applyBorder="1"/>
    <xf numFmtId="10" fontId="0" fillId="9" borderId="9" xfId="2" applyNumberFormat="1" applyFont="1" applyFill="1" applyBorder="1"/>
    <xf numFmtId="0" fontId="4" fillId="10" borderId="0" xfId="0" applyFont="1" applyFill="1" applyAlignment="1">
      <alignment wrapText="1"/>
    </xf>
    <xf numFmtId="0" fontId="23" fillId="9" borderId="0" xfId="0" applyFont="1" applyFill="1"/>
    <xf numFmtId="166" fontId="0" fillId="9" borderId="0" xfId="1" applyNumberFormat="1" applyFont="1" applyFill="1"/>
    <xf numFmtId="1" fontId="0" fillId="9" borderId="0" xfId="0" applyNumberFormat="1" applyFill="1"/>
    <xf numFmtId="0" fontId="11" fillId="9" borderId="0" xfId="0" applyFont="1" applyFill="1"/>
    <xf numFmtId="0" fontId="2" fillId="9" borderId="0" xfId="0" applyFont="1" applyFill="1"/>
    <xf numFmtId="0" fontId="2" fillId="10" borderId="0" xfId="0" applyFont="1" applyFill="1"/>
    <xf numFmtId="0" fontId="12" fillId="10" borderId="0" xfId="0" applyFont="1" applyFill="1"/>
    <xf numFmtId="0" fontId="12" fillId="9" borderId="0" xfId="0" applyFont="1" applyFill="1"/>
    <xf numFmtId="0" fontId="16" fillId="10" borderId="0" xfId="0" applyFont="1" applyFill="1"/>
    <xf numFmtId="0" fontId="24" fillId="10" borderId="0" xfId="0" applyFont="1" applyFill="1"/>
    <xf numFmtId="0" fontId="7" fillId="10" borderId="0" xfId="0" applyFont="1" applyFill="1"/>
    <xf numFmtId="0" fontId="7" fillId="9" borderId="0" xfId="0" applyFont="1" applyFill="1"/>
    <xf numFmtId="0" fontId="14" fillId="9" borderId="0" xfId="0" applyFont="1" applyFill="1"/>
    <xf numFmtId="0" fontId="14" fillId="10" borderId="0" xfId="0" applyFont="1" applyFill="1"/>
    <xf numFmtId="0" fontId="10" fillId="9" borderId="9" xfId="0" applyFont="1" applyFill="1" applyBorder="1"/>
    <xf numFmtId="0" fontId="0" fillId="9" borderId="11" xfId="0" applyFill="1" applyBorder="1" applyAlignment="1">
      <alignment wrapText="1"/>
    </xf>
    <xf numFmtId="0" fontId="6" fillId="9" borderId="14" xfId="3" applyFill="1" applyBorder="1" applyAlignment="1"/>
    <xf numFmtId="0" fontId="0" fillId="9" borderId="14" xfId="0" applyFill="1" applyBorder="1"/>
    <xf numFmtId="0" fontId="0" fillId="9" borderId="12" xfId="0" applyFill="1" applyBorder="1"/>
    <xf numFmtId="0" fontId="0" fillId="9" borderId="4" xfId="2" applyNumberFormat="1" applyFont="1" applyFill="1" applyBorder="1" applyAlignment="1">
      <alignment horizontal="left" wrapText="1"/>
    </xf>
    <xf numFmtId="0" fontId="6" fillId="9" borderId="0" xfId="3" applyFill="1" applyBorder="1" applyAlignment="1">
      <alignment horizontal="left" wrapText="1"/>
    </xf>
    <xf numFmtId="0" fontId="6" fillId="9" borderId="0" xfId="3" applyFill="1" applyBorder="1" applyAlignment="1">
      <alignment wrapText="1"/>
    </xf>
    <xf numFmtId="0" fontId="6" fillId="9" borderId="5" xfId="3" applyFill="1" applyBorder="1" applyAlignment="1">
      <alignment wrapText="1"/>
    </xf>
    <xf numFmtId="0" fontId="0" fillId="9" borderId="1" xfId="0" applyFill="1" applyBorder="1"/>
    <xf numFmtId="1" fontId="0" fillId="9" borderId="2" xfId="0" applyNumberFormat="1" applyFill="1" applyBorder="1"/>
    <xf numFmtId="1" fontId="0" fillId="9" borderId="7" xfId="0" applyNumberFormat="1" applyFill="1" applyBorder="1"/>
    <xf numFmtId="9" fontId="0" fillId="9" borderId="5" xfId="2" applyFont="1" applyFill="1" applyBorder="1"/>
    <xf numFmtId="9" fontId="0" fillId="9" borderId="3" xfId="2" applyFont="1" applyFill="1" applyBorder="1"/>
    <xf numFmtId="9" fontId="0" fillId="9" borderId="8" xfId="2" applyFont="1" applyFill="1" applyBorder="1"/>
    <xf numFmtId="0" fontId="0" fillId="9" borderId="16" xfId="0" applyFill="1" applyBorder="1" applyAlignment="1">
      <alignment wrapText="1"/>
    </xf>
    <xf numFmtId="0" fontId="0" fillId="9" borderId="13" xfId="0" applyFill="1" applyBorder="1"/>
    <xf numFmtId="0" fontId="4" fillId="9" borderId="1" xfId="0" applyFont="1" applyFill="1" applyBorder="1" applyAlignment="1">
      <alignment horizontal="left" wrapText="1"/>
    </xf>
    <xf numFmtId="2" fontId="0" fillId="9" borderId="9" xfId="0" applyNumberFormat="1" applyFill="1" applyBorder="1"/>
    <xf numFmtId="0" fontId="0" fillId="9" borderId="2" xfId="0" applyFill="1" applyBorder="1" applyAlignment="1">
      <alignment wrapText="1"/>
    </xf>
    <xf numFmtId="0" fontId="5" fillId="9" borderId="0" xfId="0" applyFont="1" applyFill="1"/>
    <xf numFmtId="1" fontId="9" fillId="9" borderId="0" xfId="0" applyNumberFormat="1" applyFont="1" applyFill="1"/>
    <xf numFmtId="0" fontId="28" fillId="9" borderId="0" xfId="0" applyFont="1" applyFill="1" applyAlignment="1">
      <alignment horizontal="left" vertical="center" wrapText="1"/>
    </xf>
    <xf numFmtId="0" fontId="28" fillId="9" borderId="0" xfId="0" applyFont="1" applyFill="1" applyAlignment="1">
      <alignment horizontal="center" vertical="center" wrapText="1"/>
    </xf>
    <xf numFmtId="3" fontId="27" fillId="9" borderId="0" xfId="0" applyNumberFormat="1" applyFont="1" applyFill="1" applyAlignment="1">
      <alignment horizontal="right" vertical="center" wrapText="1"/>
    </xf>
    <xf numFmtId="0" fontId="27" fillId="9" borderId="0" xfId="0" applyFont="1" applyFill="1" applyAlignment="1">
      <alignment horizontal="right" vertical="center" wrapText="1"/>
    </xf>
    <xf numFmtId="0" fontId="28" fillId="9" borderId="0" xfId="0" applyFont="1" applyFill="1" applyAlignment="1">
      <alignment horizontal="right" vertical="center" wrapText="1"/>
    </xf>
    <xf numFmtId="3" fontId="9" fillId="9" borderId="0" xfId="0" applyNumberFormat="1" applyFont="1" applyFill="1"/>
    <xf numFmtId="165" fontId="9" fillId="9" borderId="0" xfId="0" applyNumberFormat="1" applyFont="1" applyFill="1"/>
    <xf numFmtId="167" fontId="9" fillId="9" borderId="0" xfId="2" applyNumberFormat="1" applyFont="1" applyFill="1" applyBorder="1"/>
    <xf numFmtId="167" fontId="9" fillId="9" borderId="0" xfId="0" applyNumberFormat="1" applyFont="1" applyFill="1"/>
    <xf numFmtId="15" fontId="0" fillId="9" borderId="0" xfId="0" applyNumberFormat="1" applyFill="1"/>
    <xf numFmtId="0" fontId="25" fillId="10" borderId="0" xfId="0" applyFont="1" applyFill="1" applyAlignment="1">
      <alignment horizontal="left" vertical="center"/>
    </xf>
    <xf numFmtId="0" fontId="8" fillId="10" borderId="0" xfId="0" applyFont="1" applyFill="1"/>
    <xf numFmtId="0" fontId="8" fillId="9" borderId="0" xfId="0" applyFont="1" applyFill="1"/>
    <xf numFmtId="0" fontId="12" fillId="10" borderId="9" xfId="0" applyFont="1" applyFill="1" applyBorder="1"/>
    <xf numFmtId="0" fontId="20" fillId="9" borderId="0" xfId="0" applyFont="1" applyFill="1" applyAlignment="1">
      <alignment horizontal="left" vertical="center" wrapText="1" readingOrder="1"/>
    </xf>
    <xf numFmtId="10" fontId="0" fillId="2" borderId="9" xfId="0" applyNumberFormat="1" applyFill="1" applyBorder="1"/>
    <xf numFmtId="0" fontId="29" fillId="10" borderId="0" xfId="0" applyFont="1" applyFill="1"/>
    <xf numFmtId="0" fontId="20" fillId="9" borderId="9" xfId="0" applyFont="1" applyFill="1" applyBorder="1" applyAlignment="1">
      <alignment horizontal="left" vertical="center" wrapText="1" readingOrder="1"/>
    </xf>
    <xf numFmtId="167" fontId="0" fillId="9" borderId="0" xfId="0" applyNumberFormat="1" applyFill="1"/>
    <xf numFmtId="0" fontId="10" fillId="9" borderId="0" xfId="0" applyFont="1" applyFill="1" applyAlignment="1">
      <alignment vertical="center"/>
    </xf>
    <xf numFmtId="167" fontId="0" fillId="2" borderId="9" xfId="0" applyNumberFormat="1" applyFill="1" applyBorder="1"/>
    <xf numFmtId="0" fontId="20" fillId="9" borderId="0" xfId="0" applyFont="1" applyFill="1" applyAlignment="1">
      <alignment horizontal="right" vertical="center" wrapText="1" readingOrder="1"/>
    </xf>
    <xf numFmtId="0" fontId="20" fillId="9" borderId="9" xfId="0" applyFont="1" applyFill="1" applyBorder="1" applyAlignment="1">
      <alignment horizontal="right" vertical="center" wrapText="1" readingOrder="1"/>
    </xf>
    <xf numFmtId="168" fontId="0" fillId="9" borderId="9" xfId="0" applyNumberFormat="1" applyFill="1" applyBorder="1"/>
    <xf numFmtId="170" fontId="0" fillId="9" borderId="0" xfId="0" applyNumberFormat="1" applyFill="1"/>
    <xf numFmtId="170" fontId="0" fillId="9" borderId="12" xfId="0" applyNumberFormat="1" applyFill="1" applyBorder="1"/>
    <xf numFmtId="168" fontId="0" fillId="9" borderId="12" xfId="0" applyNumberFormat="1" applyFill="1" applyBorder="1"/>
    <xf numFmtId="170" fontId="0" fillId="9" borderId="10" xfId="0" applyNumberFormat="1" applyFill="1" applyBorder="1"/>
    <xf numFmtId="170" fontId="0" fillId="9" borderId="8" xfId="0" applyNumberFormat="1" applyFill="1" applyBorder="1"/>
    <xf numFmtId="172" fontId="0" fillId="9" borderId="10" xfId="0" applyNumberFormat="1" applyFill="1" applyBorder="1"/>
    <xf numFmtId="172" fontId="0" fillId="9" borderId="9" xfId="0" applyNumberFormat="1" applyFill="1" applyBorder="1"/>
    <xf numFmtId="10" fontId="0" fillId="9" borderId="10" xfId="0" applyNumberFormat="1" applyFill="1" applyBorder="1"/>
    <xf numFmtId="0" fontId="0" fillId="10" borderId="14" xfId="0" applyFill="1" applyBorder="1"/>
    <xf numFmtId="0" fontId="0" fillId="10" borderId="12" xfId="0" applyFill="1" applyBorder="1"/>
    <xf numFmtId="0" fontId="19" fillId="10" borderId="0" xfId="0" applyFont="1" applyFill="1" applyAlignment="1">
      <alignment horizontal="left" vertical="center" wrapText="1" readingOrder="1"/>
    </xf>
    <xf numFmtId="0" fontId="20" fillId="10" borderId="0" xfId="0" applyFont="1" applyFill="1" applyAlignment="1">
      <alignment horizontal="left" vertical="center" wrapText="1" readingOrder="1"/>
    </xf>
    <xf numFmtId="0" fontId="20" fillId="10" borderId="0" xfId="0" applyFont="1" applyFill="1" applyAlignment="1">
      <alignment horizontal="right" vertical="center" wrapText="1" readingOrder="1"/>
    </xf>
    <xf numFmtId="0" fontId="9" fillId="10" borderId="0" xfId="0" applyFont="1" applyFill="1"/>
    <xf numFmtId="0" fontId="20" fillId="9" borderId="9" xfId="0" applyFont="1" applyFill="1" applyBorder="1" applyAlignment="1">
      <alignment horizontal="left" vertical="center" readingOrder="1"/>
    </xf>
    <xf numFmtId="169" fontId="0" fillId="0" borderId="9" xfId="1" applyNumberFormat="1" applyFont="1" applyBorder="1"/>
    <xf numFmtId="177" fontId="0" fillId="9" borderId="9" xfId="0" applyNumberFormat="1" applyFill="1" applyBorder="1"/>
    <xf numFmtId="0" fontId="9" fillId="13" borderId="0" xfId="0" applyFont="1" applyFill="1" applyAlignment="1">
      <alignment wrapText="1"/>
    </xf>
    <xf numFmtId="0" fontId="0" fillId="13" borderId="0" xfId="0" applyFill="1"/>
    <xf numFmtId="169" fontId="0" fillId="0" borderId="10" xfId="1" applyNumberFormat="1" applyFont="1" applyBorder="1"/>
    <xf numFmtId="169" fontId="0" fillId="9" borderId="16" xfId="0" applyNumberFormat="1" applyFill="1" applyBorder="1"/>
    <xf numFmtId="166" fontId="9" fillId="9" borderId="9" xfId="0" applyNumberFormat="1" applyFont="1" applyFill="1" applyBorder="1"/>
    <xf numFmtId="0" fontId="21" fillId="0" borderId="0" xfId="0" applyFont="1"/>
    <xf numFmtId="0" fontId="30" fillId="10" borderId="0" xfId="0" applyFont="1" applyFill="1"/>
    <xf numFmtId="0" fontId="0" fillId="13" borderId="0" xfId="0" applyFill="1" applyAlignment="1">
      <alignment vertical="top" wrapText="1"/>
    </xf>
    <xf numFmtId="0" fontId="0" fillId="13" borderId="0" xfId="0" applyFill="1" applyAlignment="1">
      <alignment vertical="top"/>
    </xf>
    <xf numFmtId="0" fontId="10" fillId="10" borderId="0" xfId="0" applyFont="1" applyFill="1" applyAlignment="1">
      <alignment vertical="center"/>
    </xf>
    <xf numFmtId="0" fontId="20" fillId="2" borderId="9" xfId="0" applyFont="1" applyFill="1" applyBorder="1" applyAlignment="1">
      <alignment horizontal="right" vertical="center" wrapText="1" readingOrder="1"/>
    </xf>
    <xf numFmtId="0" fontId="19" fillId="10" borderId="0" xfId="0" applyFont="1" applyFill="1" applyAlignment="1">
      <alignment horizontal="right" vertical="center" wrapText="1" readingOrder="1"/>
    </xf>
    <xf numFmtId="0" fontId="18" fillId="10" borderId="0" xfId="0" applyFont="1" applyFill="1" applyAlignment="1">
      <alignment vertical="center"/>
    </xf>
    <xf numFmtId="9" fontId="20" fillId="2" borderId="9" xfId="0" applyNumberFormat="1" applyFont="1" applyFill="1" applyBorder="1" applyAlignment="1">
      <alignment horizontal="right" vertical="center" wrapText="1" readingOrder="1"/>
    </xf>
    <xf numFmtId="9" fontId="20" fillId="0" borderId="0" xfId="0" applyNumberFormat="1" applyFont="1" applyAlignment="1">
      <alignment horizontal="right" vertical="center" wrapText="1" readingOrder="1"/>
    </xf>
    <xf numFmtId="175" fontId="20" fillId="2" borderId="9" xfId="0" applyNumberFormat="1" applyFont="1" applyFill="1" applyBorder="1" applyAlignment="1">
      <alignment horizontal="right" vertical="center" wrapText="1" readingOrder="1"/>
    </xf>
    <xf numFmtId="166" fontId="20" fillId="2" borderId="9" xfId="1" applyNumberFormat="1" applyFont="1" applyFill="1" applyBorder="1" applyAlignment="1">
      <alignment horizontal="right" vertical="center" wrapText="1" readingOrder="1"/>
    </xf>
    <xf numFmtId="0" fontId="20" fillId="9" borderId="0" xfId="0" applyFont="1" applyFill="1" applyAlignment="1">
      <alignment horizontal="left" vertical="center" readingOrder="1"/>
    </xf>
    <xf numFmtId="168" fontId="0" fillId="9" borderId="0" xfId="0" applyNumberFormat="1" applyFill="1"/>
    <xf numFmtId="168" fontId="0" fillId="10" borderId="0" xfId="0" applyNumberFormat="1" applyFill="1"/>
    <xf numFmtId="0" fontId="10" fillId="10" borderId="0" xfId="0" applyFont="1" applyFill="1"/>
    <xf numFmtId="0" fontId="7" fillId="10" borderId="0" xfId="0" applyFont="1" applyFill="1" applyAlignment="1">
      <alignment wrapText="1"/>
    </xf>
    <xf numFmtId="0" fontId="7" fillId="9" borderId="0" xfId="0" applyFont="1" applyFill="1" applyAlignment="1">
      <alignment wrapText="1"/>
    </xf>
    <xf numFmtId="0" fontId="31" fillId="9" borderId="0" xfId="0" applyFont="1" applyFill="1"/>
    <xf numFmtId="10" fontId="0" fillId="9" borderId="9" xfId="2" applyNumberFormat="1" applyFont="1" applyFill="1" applyBorder="1" applyAlignment="1"/>
    <xf numFmtId="1" fontId="0" fillId="2" borderId="9" xfId="2" applyNumberFormat="1" applyFont="1" applyFill="1" applyBorder="1" applyAlignment="1"/>
    <xf numFmtId="10" fontId="0" fillId="9" borderId="0" xfId="2" applyNumberFormat="1" applyFont="1" applyFill="1"/>
    <xf numFmtId="0" fontId="20" fillId="9" borderId="9" xfId="0" applyFont="1" applyFill="1" applyBorder="1"/>
    <xf numFmtId="0" fontId="20" fillId="9" borderId="9" xfId="0" applyFont="1" applyFill="1" applyBorder="1" applyAlignment="1">
      <alignment wrapText="1"/>
    </xf>
    <xf numFmtId="0" fontId="32" fillId="9" borderId="0" xfId="0" applyFont="1" applyFill="1" applyAlignment="1">
      <alignment horizontal="left" vertical="center" wrapText="1" readingOrder="1"/>
    </xf>
    <xf numFmtId="0" fontId="19" fillId="9" borderId="0" xfId="0" applyFont="1" applyFill="1" applyAlignment="1">
      <alignment horizontal="right" vertical="center" wrapText="1" readingOrder="1"/>
    </xf>
    <xf numFmtId="9" fontId="0" fillId="2" borderId="11" xfId="0" applyNumberFormat="1" applyFill="1" applyBorder="1"/>
    <xf numFmtId="166" fontId="0" fillId="2" borderId="12" xfId="1" applyNumberFormat="1" applyFont="1" applyFill="1" applyBorder="1"/>
    <xf numFmtId="166" fontId="20" fillId="2" borderId="9" xfId="0" applyNumberFormat="1" applyFont="1" applyFill="1" applyBorder="1" applyAlignment="1">
      <alignment horizontal="right" vertical="center" wrapText="1" readingOrder="1"/>
    </xf>
    <xf numFmtId="168" fontId="0" fillId="0" borderId="9" xfId="0" applyNumberFormat="1" applyBorder="1"/>
    <xf numFmtId="168" fontId="0" fillId="0" borderId="9" xfId="1" applyNumberFormat="1" applyFont="1" applyFill="1" applyBorder="1"/>
    <xf numFmtId="168" fontId="0" fillId="0" borderId="16" xfId="0" applyNumberFormat="1" applyBorder="1"/>
    <xf numFmtId="0" fontId="0" fillId="9" borderId="0" xfId="0" applyFill="1" applyAlignment="1">
      <alignment vertical="top" wrapText="1"/>
    </xf>
    <xf numFmtId="167" fontId="20" fillId="2" borderId="9" xfId="2" applyNumberFormat="1" applyFont="1" applyFill="1" applyBorder="1" applyAlignment="1">
      <alignment horizontal="right" vertical="center" wrapText="1" readingOrder="1"/>
    </xf>
    <xf numFmtId="0" fontId="23" fillId="9" borderId="0" xfId="0" applyFont="1" applyFill="1" applyAlignment="1">
      <alignment horizontal="left" vertical="center" readingOrder="1"/>
    </xf>
    <xf numFmtId="0" fontId="12" fillId="9" borderId="0" xfId="0" applyFont="1" applyFill="1" applyAlignment="1">
      <alignment horizontal="center"/>
    </xf>
    <xf numFmtId="1" fontId="0" fillId="9" borderId="0" xfId="1" applyNumberFormat="1" applyFont="1" applyFill="1" applyBorder="1"/>
    <xf numFmtId="166" fontId="0" fillId="9" borderId="16" xfId="1" applyNumberFormat="1" applyFont="1" applyFill="1" applyBorder="1"/>
    <xf numFmtId="0" fontId="23" fillId="9" borderId="0" xfId="0" applyFont="1" applyFill="1" applyAlignment="1">
      <alignment vertical="center"/>
    </xf>
    <xf numFmtId="167" fontId="0" fillId="2" borderId="16" xfId="2" applyNumberFormat="1" applyFont="1" applyFill="1" applyBorder="1"/>
    <xf numFmtId="167" fontId="0" fillId="2" borderId="9" xfId="2" applyNumberFormat="1" applyFont="1" applyFill="1" applyBorder="1"/>
    <xf numFmtId="0" fontId="10" fillId="0" borderId="9" xfId="0" applyFont="1" applyBorder="1"/>
    <xf numFmtId="0" fontId="9" fillId="0" borderId="9" xfId="0" applyFont="1" applyBorder="1"/>
    <xf numFmtId="1" fontId="0" fillId="9" borderId="9" xfId="0" applyNumberFormat="1" applyFill="1" applyBorder="1"/>
    <xf numFmtId="0" fontId="0" fillId="10" borderId="4" xfId="0" applyFill="1" applyBorder="1"/>
    <xf numFmtId="1" fontId="0" fillId="10" borderId="9" xfId="0" applyNumberFormat="1" applyFill="1" applyBorder="1"/>
    <xf numFmtId="43" fontId="0" fillId="0" borderId="9" xfId="1" applyFont="1" applyFill="1" applyBorder="1"/>
    <xf numFmtId="0" fontId="0" fillId="14" borderId="0" xfId="0" applyFill="1"/>
    <xf numFmtId="10" fontId="0" fillId="14" borderId="0" xfId="0" applyNumberFormat="1" applyFill="1"/>
    <xf numFmtId="0" fontId="0" fillId="14" borderId="0" xfId="0" applyFill="1" applyAlignment="1">
      <alignment vertical="top" wrapText="1"/>
    </xf>
    <xf numFmtId="167" fontId="0" fillId="0" borderId="16" xfId="2" applyNumberFormat="1" applyFont="1" applyFill="1" applyBorder="1" applyAlignment="1">
      <alignment wrapText="1"/>
    </xf>
    <xf numFmtId="0" fontId="14" fillId="10" borderId="16" xfId="0" applyFont="1" applyFill="1" applyBorder="1" applyAlignment="1">
      <alignment horizontal="right"/>
    </xf>
    <xf numFmtId="0" fontId="4" fillId="10" borderId="16" xfId="0" applyFont="1" applyFill="1" applyBorder="1" applyAlignment="1">
      <alignment horizontal="right"/>
    </xf>
    <xf numFmtId="0" fontId="4" fillId="10" borderId="9" xfId="0" applyFont="1" applyFill="1" applyBorder="1" applyAlignment="1">
      <alignment horizontal="right"/>
    </xf>
    <xf numFmtId="0" fontId="4" fillId="10" borderId="9" xfId="0" applyFont="1" applyFill="1" applyBorder="1" applyAlignment="1">
      <alignment horizontal="right" wrapText="1"/>
    </xf>
    <xf numFmtId="166" fontId="0" fillId="9" borderId="12" xfId="1" applyNumberFormat="1" applyFont="1" applyFill="1" applyBorder="1"/>
    <xf numFmtId="179" fontId="0" fillId="9" borderId="9" xfId="0" applyNumberFormat="1" applyFill="1" applyBorder="1"/>
    <xf numFmtId="9" fontId="0" fillId="0" borderId="9" xfId="1" applyNumberFormat="1" applyFont="1" applyBorder="1"/>
    <xf numFmtId="9" fontId="0" fillId="0" borderId="9" xfId="2" applyFont="1" applyBorder="1"/>
    <xf numFmtId="169" fontId="0" fillId="2" borderId="9" xfId="1" applyNumberFormat="1" applyFont="1" applyFill="1" applyBorder="1"/>
    <xf numFmtId="0" fontId="6" fillId="0" borderId="0" xfId="3"/>
    <xf numFmtId="0" fontId="33" fillId="0" borderId="0" xfId="3" applyFont="1"/>
    <xf numFmtId="9" fontId="0" fillId="0" borderId="9" xfId="2" applyFont="1" applyFill="1" applyBorder="1"/>
    <xf numFmtId="10" fontId="0" fillId="0" borderId="9" xfId="0" applyNumberFormat="1" applyBorder="1"/>
    <xf numFmtId="0" fontId="4" fillId="10" borderId="12" xfId="0" applyFont="1" applyFill="1" applyBorder="1" applyAlignment="1">
      <alignment horizontal="center"/>
    </xf>
    <xf numFmtId="0" fontId="0" fillId="10" borderId="9" xfId="0" applyFill="1" applyBorder="1"/>
    <xf numFmtId="0" fontId="10" fillId="10" borderId="9" xfId="0" applyFont="1" applyFill="1" applyBorder="1"/>
    <xf numFmtId="0" fontId="4" fillId="10" borderId="9" xfId="0" applyFont="1" applyFill="1" applyBorder="1" applyAlignment="1">
      <alignment horizontal="center" vertical="center"/>
    </xf>
    <xf numFmtId="166" fontId="0" fillId="9" borderId="12" xfId="0" applyNumberFormat="1" applyFill="1" applyBorder="1"/>
    <xf numFmtId="0" fontId="2" fillId="9" borderId="9" xfId="0" applyFont="1" applyFill="1" applyBorder="1"/>
    <xf numFmtId="166" fontId="10" fillId="9" borderId="0" xfId="0" applyNumberFormat="1" applyFont="1" applyFill="1"/>
    <xf numFmtId="0" fontId="0" fillId="9" borderId="4" xfId="0" applyFill="1" applyBorder="1" applyAlignment="1">
      <alignment horizontal="center"/>
    </xf>
    <xf numFmtId="1" fontId="0" fillId="10" borderId="10" xfId="0" applyNumberFormat="1" applyFill="1" applyBorder="1"/>
    <xf numFmtId="0" fontId="4" fillId="10" borderId="10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right"/>
    </xf>
    <xf numFmtId="0" fontId="0" fillId="9" borderId="0" xfId="0" applyFill="1" applyAlignment="1">
      <alignment horizontal="center"/>
    </xf>
    <xf numFmtId="0" fontId="6" fillId="9" borderId="0" xfId="3" applyFill="1" applyBorder="1" applyAlignment="1">
      <alignment horizontal="left" wrapText="1"/>
    </xf>
    <xf numFmtId="2" fontId="5" fillId="3" borderId="9" xfId="0" applyNumberFormat="1" applyFont="1" applyFill="1" applyBorder="1" applyAlignment="1">
      <alignment horizontal="center"/>
    </xf>
    <xf numFmtId="2" fontId="5" fillId="12" borderId="9" xfId="0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2" fontId="5" fillId="11" borderId="9" xfId="0" applyNumberFormat="1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6" fillId="9" borderId="4" xfId="3" applyFill="1" applyBorder="1" applyAlignment="1">
      <alignment horizontal="left" wrapText="1"/>
    </xf>
    <xf numFmtId="0" fontId="6" fillId="9" borderId="5" xfId="3" applyFill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9" borderId="1" xfId="0" applyFill="1" applyBorder="1" applyAlignment="1">
      <alignment horizontal="left" vertical="center"/>
    </xf>
    <xf numFmtId="0" fontId="0" fillId="9" borderId="6" xfId="0" applyFill="1" applyBorder="1" applyAlignment="1">
      <alignment horizontal="left" vertical="center"/>
    </xf>
    <xf numFmtId="0" fontId="0" fillId="9" borderId="4" xfId="0" applyFill="1" applyBorder="1" applyAlignment="1">
      <alignment horizontal="left" vertical="center"/>
    </xf>
  </cellXfs>
  <cellStyles count="16">
    <cellStyle name="Column label" xfId="13" xr:uid="{5B5D4623-5245-423D-9593-D11C164266A1}"/>
    <cellStyle name="Comma" xfId="1" builtinId="3"/>
    <cellStyle name="Comma 2" xfId="15" xr:uid="{C93EB31F-55FB-4010-BF21-96B90D598995}"/>
    <cellStyle name="Currency 13" xfId="14" xr:uid="{2B58E04B-CACB-4918-8E60-7B25C4AB36EC}"/>
    <cellStyle name="Currency 8" xfId="7" xr:uid="{9566A33F-956C-4D8B-AE5E-A9B6B1021769}"/>
    <cellStyle name="D" xfId="4" xr:uid="{933906A3-2C20-41C9-8980-42CDF9F213E3}"/>
    <cellStyle name="H2" xfId="12" xr:uid="{D95B1B5E-BB86-451B-96DF-F21544C238A4}"/>
    <cellStyle name="Highlight" xfId="8" xr:uid="{DBF9C6FE-2947-4DF4-9CF8-799342CC1103}"/>
    <cellStyle name="Hyperlink" xfId="3" builtinId="8"/>
    <cellStyle name="Input calculation" xfId="9" xr:uid="{70565FA5-309D-4BC2-A959-133E2479D50D}"/>
    <cellStyle name="Input data" xfId="6" xr:uid="{49363687-6847-48B6-8061-47D11000C5AD}"/>
    <cellStyle name="Input estimate" xfId="10" xr:uid="{10D5D767-247E-4350-B24D-829B2B738935}"/>
    <cellStyle name="Input link" xfId="5" xr:uid="{F031ADD7-9BB8-4993-A74A-2FC3EC9831DB}"/>
    <cellStyle name="Input link (different workbook)" xfId="11" xr:uid="{4C04A368-BEA3-4C34-9572-79C4B78C8941}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431800</xdr:colOff>
      <xdr:row>0</xdr:row>
      <xdr:rowOff>84667</xdr:rowOff>
    </xdr:from>
    <xdr:to>
      <xdr:col>0</xdr:col>
      <xdr:colOff>2497455</xdr:colOff>
      <xdr:row>4</xdr:row>
      <xdr:rowOff>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4D40FF-CFEA-487E-B75A-7A1E2BC14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84667"/>
          <a:ext cx="2069465" cy="656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638176</xdr:colOff>
      <xdr:row>2</xdr:row>
      <xdr:rowOff>38100</xdr:rowOff>
    </xdr:from>
    <xdr:to>
      <xdr:col>1</xdr:col>
      <xdr:colOff>761548</xdr:colOff>
      <xdr:row>6</xdr:row>
      <xdr:rowOff>181120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D27A50E3-C89C-A6CB-9A2B-670397E1C0B6}"/>
            </a:ext>
          </a:extLst>
        </xdr:cNvPr>
        <xdr:cNvSpPr/>
      </xdr:nvSpPr>
      <xdr:spPr>
        <a:xfrm>
          <a:off x="638176" y="466725"/>
          <a:ext cx="1171122" cy="90502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ZA" sz="1000"/>
            <a:t>1 Traffic volumes (fixed voice</a:t>
          </a:r>
          <a:r>
            <a:rPr lang="en-ZA" sz="1000" baseline="0"/>
            <a:t>)</a:t>
          </a:r>
          <a:endParaRPr lang="en-ZA" sz="1000"/>
        </a:p>
      </xdr:txBody>
    </xdr:sp>
    <xdr:clientData/>
  </xdr:twoCellAnchor>
  <xdr:twoCellAnchor>
    <xdr:from>
      <xdr:col>2</xdr:col>
      <xdr:colOff>219074</xdr:colOff>
      <xdr:row>2</xdr:row>
      <xdr:rowOff>34925</xdr:rowOff>
    </xdr:from>
    <xdr:to>
      <xdr:col>3</xdr:col>
      <xdr:colOff>643022</xdr:colOff>
      <xdr:row>6</xdr:row>
      <xdr:rowOff>152400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A09B715-4CAE-1466-1E0E-6046BCF29077}"/>
            </a:ext>
          </a:extLst>
        </xdr:cNvPr>
        <xdr:cNvSpPr/>
      </xdr:nvSpPr>
      <xdr:spPr>
        <a:xfrm>
          <a:off x="2314574" y="463550"/>
          <a:ext cx="1471698" cy="87947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ZA" sz="1000"/>
            <a:t>2 Convert all traffic types to various dimensions needed</a:t>
          </a:r>
          <a:r>
            <a:rPr lang="en-ZA" sz="1000" baseline="0"/>
            <a:t> for network element demand</a:t>
          </a:r>
          <a:r>
            <a:rPr lang="en-ZA" sz="1000"/>
            <a:t> </a:t>
          </a:r>
        </a:p>
      </xdr:txBody>
    </xdr:sp>
    <xdr:clientData/>
  </xdr:twoCellAnchor>
  <xdr:twoCellAnchor>
    <xdr:from>
      <xdr:col>1</xdr:col>
      <xdr:colOff>761548</xdr:colOff>
      <xdr:row>4</xdr:row>
      <xdr:rowOff>93663</xdr:rowOff>
    </xdr:from>
    <xdr:to>
      <xdr:col>2</xdr:col>
      <xdr:colOff>219074</xdr:colOff>
      <xdr:row>4</xdr:row>
      <xdr:rowOff>109610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A9D15B73-F085-497A-3AD4-E5998221B5CF}"/>
            </a:ext>
          </a:extLst>
        </xdr:cNvPr>
        <xdr:cNvCxnSpPr>
          <a:stCxn id="24" idx="3"/>
          <a:endCxn id="26" idx="1"/>
        </xdr:cNvCxnSpPr>
      </xdr:nvCxnSpPr>
      <xdr:spPr>
        <a:xfrm flipV="1">
          <a:off x="1809298" y="903288"/>
          <a:ext cx="505276" cy="159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238126</xdr:colOff>
      <xdr:row>8</xdr:row>
      <xdr:rowOff>95249</xdr:rowOff>
    </xdr:from>
    <xdr:to>
      <xdr:col>3</xdr:col>
      <xdr:colOff>645860</xdr:colOff>
      <xdr:row>14</xdr:row>
      <xdr:rowOff>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E946CFE3-5A6A-B75A-44E3-DE89B9FCBF01}"/>
            </a:ext>
          </a:extLst>
        </xdr:cNvPr>
        <xdr:cNvSpPr/>
      </xdr:nvSpPr>
      <xdr:spPr>
        <a:xfrm>
          <a:off x="2333626" y="1666874"/>
          <a:ext cx="1455484" cy="1047751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ZA" sz="1000"/>
            <a:t>3 Compute network element demand </a:t>
          </a:r>
        </a:p>
      </xdr:txBody>
    </xdr:sp>
    <xdr:clientData/>
  </xdr:twoCellAnchor>
  <xdr:twoCellAnchor>
    <xdr:from>
      <xdr:col>2</xdr:col>
      <xdr:colOff>954923</xdr:colOff>
      <xdr:row>6</xdr:row>
      <xdr:rowOff>152400</xdr:rowOff>
    </xdr:from>
    <xdr:to>
      <xdr:col>2</xdr:col>
      <xdr:colOff>965868</xdr:colOff>
      <xdr:row>8</xdr:row>
      <xdr:rowOff>95249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361178F6-1154-771A-DD84-0717160AB58A}"/>
            </a:ext>
          </a:extLst>
        </xdr:cNvPr>
        <xdr:cNvCxnSpPr>
          <a:stCxn id="26" idx="2"/>
          <a:endCxn id="28" idx="0"/>
        </xdr:cNvCxnSpPr>
      </xdr:nvCxnSpPr>
      <xdr:spPr>
        <a:xfrm>
          <a:off x="3050423" y="1343025"/>
          <a:ext cx="10945" cy="3238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645860</xdr:colOff>
      <xdr:row>11</xdr:row>
      <xdr:rowOff>47625</xdr:rowOff>
    </xdr:from>
    <xdr:to>
      <xdr:col>4</xdr:col>
      <xdr:colOff>676275</xdr:colOff>
      <xdr:row>11</xdr:row>
      <xdr:rowOff>122020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9586AC1C-F5D6-D56B-3CD3-D2830943FB3D}"/>
            </a:ext>
          </a:extLst>
        </xdr:cNvPr>
        <xdr:cNvCxnSpPr>
          <a:stCxn id="28" idx="3"/>
          <a:endCxn id="32" idx="1"/>
        </xdr:cNvCxnSpPr>
      </xdr:nvCxnSpPr>
      <xdr:spPr>
        <a:xfrm>
          <a:off x="3789110" y="2190750"/>
          <a:ext cx="1078165" cy="7439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676275</xdr:colOff>
      <xdr:row>9</xdr:row>
      <xdr:rowOff>101600</xdr:rowOff>
    </xdr:from>
    <xdr:to>
      <xdr:col>5</xdr:col>
      <xdr:colOff>923120</xdr:colOff>
      <xdr:row>13</xdr:row>
      <xdr:rowOff>142440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7222EBC5-93EB-7DC9-5A37-5F981BCDAE39}"/>
            </a:ext>
          </a:extLst>
        </xdr:cNvPr>
        <xdr:cNvSpPr/>
      </xdr:nvSpPr>
      <xdr:spPr>
        <a:xfrm>
          <a:off x="4867275" y="1863725"/>
          <a:ext cx="1294595" cy="80284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ZA" sz="1000"/>
            <a:t>4, 5 Obtain capital</a:t>
          </a:r>
          <a:r>
            <a:rPr lang="en-ZA" sz="1000" baseline="0"/>
            <a:t> expenditure and operating costs for network elements</a:t>
          </a:r>
          <a:endParaRPr lang="en-ZA" sz="1000"/>
        </a:p>
      </xdr:txBody>
    </xdr:sp>
    <xdr:clientData/>
  </xdr:twoCellAnchor>
  <xdr:twoCellAnchor>
    <xdr:from>
      <xdr:col>6</xdr:col>
      <xdr:colOff>361951</xdr:colOff>
      <xdr:row>13</xdr:row>
      <xdr:rowOff>6349</xdr:rowOff>
    </xdr:from>
    <xdr:to>
      <xdr:col>7</xdr:col>
      <xdr:colOff>495301</xdr:colOff>
      <xdr:row>17</xdr:row>
      <xdr:rowOff>134772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45634776-04E9-CFA1-4266-A7F12A67118F}"/>
            </a:ext>
          </a:extLst>
        </xdr:cNvPr>
        <xdr:cNvSpPr/>
      </xdr:nvSpPr>
      <xdr:spPr>
        <a:xfrm>
          <a:off x="6648451" y="2530474"/>
          <a:ext cx="1181100" cy="890423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ZA" sz="1000"/>
            <a:t>6 Extract costs</a:t>
          </a:r>
          <a:r>
            <a:rPr lang="en-ZA" sz="1000" baseline="0"/>
            <a:t> of network elements used only for incremental voice traffic</a:t>
          </a:r>
          <a:endParaRPr lang="en-ZA" sz="1000"/>
        </a:p>
      </xdr:txBody>
    </xdr:sp>
    <xdr:clientData/>
  </xdr:twoCellAnchor>
  <xdr:twoCellAnchor>
    <xdr:from>
      <xdr:col>5</xdr:col>
      <xdr:colOff>923120</xdr:colOff>
      <xdr:row>11</xdr:row>
      <xdr:rowOff>122020</xdr:rowOff>
    </xdr:from>
    <xdr:to>
      <xdr:col>6</xdr:col>
      <xdr:colOff>361951</xdr:colOff>
      <xdr:row>15</xdr:row>
      <xdr:rowOff>70561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82ACFF68-CDA2-45BA-8C42-CAF19D22414C}"/>
            </a:ext>
          </a:extLst>
        </xdr:cNvPr>
        <xdr:cNvCxnSpPr>
          <a:stCxn id="32" idx="3"/>
          <a:endCxn id="40" idx="1"/>
        </xdr:cNvCxnSpPr>
      </xdr:nvCxnSpPr>
      <xdr:spPr>
        <a:xfrm>
          <a:off x="6161870" y="2265145"/>
          <a:ext cx="486581" cy="71054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638175</xdr:colOff>
      <xdr:row>4</xdr:row>
      <xdr:rowOff>109610</xdr:rowOff>
    </xdr:from>
    <xdr:to>
      <xdr:col>6</xdr:col>
      <xdr:colOff>952500</xdr:colOff>
      <xdr:row>17</xdr:row>
      <xdr:rowOff>134772</xdr:rowOff>
    </xdr:to>
    <xdr:cxnSp macro="">
      <xdr:nvCxnSpPr>
        <xdr:cNvPr id="44" name="Connector: Elbow 43">
          <a:extLst>
            <a:ext uri="{FF2B5EF4-FFF2-40B4-BE49-F238E27FC236}">
              <a16:creationId xmlns:a16="http://schemas.microsoft.com/office/drawing/2014/main" id="{B8E268AA-1A8A-A910-0447-943C91256A72}"/>
            </a:ext>
          </a:extLst>
        </xdr:cNvPr>
        <xdr:cNvCxnSpPr>
          <a:cxnSpLocks/>
          <a:stCxn id="24" idx="1"/>
          <a:endCxn id="40" idx="2"/>
        </xdr:cNvCxnSpPr>
      </xdr:nvCxnSpPr>
      <xdr:spPr>
        <a:xfrm rot="10800000" flipH="1" flipV="1">
          <a:off x="638175" y="919235"/>
          <a:ext cx="6600825" cy="2501662"/>
        </a:xfrm>
        <a:prstGeom prst="bentConnector4">
          <a:avLst>
            <a:gd name="adj1" fmla="val -3463"/>
            <a:gd name="adj2" fmla="val 10913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orbitax.com/taxhub/corporatetaxrates/ZA/South-Africa" TargetMode="External"/><Relationship Id="rId1" Type="http://schemas.openxmlformats.org/officeDocument/2006/relationships/hyperlink" Target="http://www.worldgovernmentbonds.com/bond-historical-data/south-africa/10-year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hub.itu.int/data/?id=2&amp;e=ZAF&amp;i=54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sbank.co.za/content/dam/sarb/publications/statements/monetary-policy-statements/2023/january-/Forecast%20January%202023.pdf" TargetMode="External"/><Relationship Id="rId2" Type="http://schemas.openxmlformats.org/officeDocument/2006/relationships/hyperlink" Target="https://www.investec.com/content/dam/south-africa/content-hub/annabel-bishop/rand-note/rand-note-20-feb-2023.pdf" TargetMode="External"/><Relationship Id="rId1" Type="http://schemas.openxmlformats.org/officeDocument/2006/relationships/hyperlink" Target="https://www.resbank.co.za/en/home/what-we-do/statistics/key-statistics/current-market-rates" TargetMode="External"/><Relationship Id="rId6" Type="http://schemas.openxmlformats.org/officeDocument/2006/relationships/hyperlink" Target="https://www,resbank,co,za/en/home/what-we-do/statistics/key-statistics/selected-historical-rates" TargetMode="External"/><Relationship Id="rId5" Type="http://schemas.openxmlformats.org/officeDocument/2006/relationships/hyperlink" Target="https://www.statssa.gov.za/publications/P0141/CPIHistory.pdf?" TargetMode="External"/><Relationship Id="rId4" Type="http://schemas.openxmlformats.org/officeDocument/2006/relationships/hyperlink" Target="https://www.resbank.co.za/content/dam/sarb/publications/statements/monetary-policy-statements/2023/january-/Forecast%20January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23F90-B105-4507-91AC-9BDBDE44079E}">
  <sheetPr>
    <tabColor theme="3" tint="0.79998168889431442"/>
  </sheetPr>
  <dimension ref="A6:U32"/>
  <sheetViews>
    <sheetView zoomScale="90" zoomScaleNormal="90" workbookViewId="0">
      <selection activeCell="B30" sqref="B30"/>
    </sheetView>
  </sheetViews>
  <sheetFormatPr defaultColWidth="8.5703125" defaultRowHeight="15" x14ac:dyDescent="0.25"/>
  <cols>
    <col min="1" max="1" width="49.5703125" style="17" customWidth="1"/>
    <col min="2" max="2" width="22" style="17" customWidth="1"/>
    <col min="3" max="21" width="15.7109375" style="17" customWidth="1"/>
    <col min="22" max="16384" width="8.5703125" style="17"/>
  </cols>
  <sheetData>
    <row r="6" spans="1:5" ht="18.75" x14ac:dyDescent="0.25">
      <c r="A6" s="135" t="s">
        <v>358</v>
      </c>
      <c r="B6" s="55"/>
      <c r="C6" s="55"/>
    </row>
    <row r="8" spans="1:5" x14ac:dyDescent="0.25">
      <c r="A8" s="17" t="s">
        <v>0</v>
      </c>
      <c r="B8" s="134">
        <v>45175</v>
      </c>
    </row>
    <row r="9" spans="1:5" x14ac:dyDescent="0.25">
      <c r="A9" s="17" t="s">
        <v>1</v>
      </c>
      <c r="B9" s="17">
        <v>1</v>
      </c>
    </row>
    <row r="10" spans="1:5" x14ac:dyDescent="0.25">
      <c r="A10" s="17" t="s">
        <v>2</v>
      </c>
      <c r="B10" s="17" t="s">
        <v>3</v>
      </c>
    </row>
    <row r="12" spans="1:5" x14ac:dyDescent="0.25">
      <c r="A12" s="54" t="s">
        <v>4</v>
      </c>
      <c r="B12" s="17" t="s">
        <v>5</v>
      </c>
    </row>
    <row r="13" spans="1:5" x14ac:dyDescent="0.25">
      <c r="A13" s="26"/>
    </row>
    <row r="14" spans="1:5" x14ac:dyDescent="0.25">
      <c r="A14" s="54" t="s">
        <v>6</v>
      </c>
      <c r="B14" s="11"/>
      <c r="C14" s="17" t="s">
        <v>7</v>
      </c>
      <c r="D14"/>
      <c r="E14"/>
    </row>
    <row r="15" spans="1:5" x14ac:dyDescent="0.25">
      <c r="B15" s="20" t="s">
        <v>8</v>
      </c>
      <c r="C15" s="17" t="s">
        <v>9</v>
      </c>
    </row>
    <row r="16" spans="1:5" x14ac:dyDescent="0.25">
      <c r="B16" s="89" t="s">
        <v>10</v>
      </c>
      <c r="C16" s="17" t="s">
        <v>11</v>
      </c>
    </row>
    <row r="18" spans="1:21" x14ac:dyDescent="0.25">
      <c r="A18" s="54" t="s">
        <v>12</v>
      </c>
      <c r="B18" s="22" t="s">
        <v>348</v>
      </c>
    </row>
    <row r="19" spans="1:21" hidden="1" x14ac:dyDescent="0.25">
      <c r="A19" s="17" t="e">
        <f>'1 Volumes'!#REF!</f>
        <v>#REF!</v>
      </c>
      <c r="B19" s="45" t="str">
        <f>B18</f>
        <v>High growth scenario</v>
      </c>
    </row>
    <row r="20" spans="1:21" hidden="1" x14ac:dyDescent="0.25">
      <c r="A20" s="17" t="e">
        <f>'1 Volumes'!#REF!</f>
        <v>#REF!</v>
      </c>
      <c r="B20" s="22" t="str">
        <f>B18</f>
        <v>High growth scenario</v>
      </c>
    </row>
    <row r="22" spans="1:21" x14ac:dyDescent="0.25">
      <c r="A22" s="54" t="s">
        <v>352</v>
      </c>
      <c r="B22" s="22" t="s">
        <v>355</v>
      </c>
    </row>
    <row r="24" spans="1:21" x14ac:dyDescent="0.25">
      <c r="A24" s="54" t="s">
        <v>14</v>
      </c>
      <c r="B24" s="9">
        <v>0.2</v>
      </c>
      <c r="C24" s="20" t="s">
        <v>15</v>
      </c>
      <c r="E24"/>
    </row>
    <row r="25" spans="1:21" x14ac:dyDescent="0.25">
      <c r="B25" s="89" t="s">
        <v>16</v>
      </c>
    </row>
    <row r="26" spans="1:21" x14ac:dyDescent="0.25">
      <c r="B26" s="20"/>
    </row>
    <row r="27" spans="1:21" x14ac:dyDescent="0.25">
      <c r="B27" s="20"/>
      <c r="F27" s="28"/>
    </row>
    <row r="28" spans="1:21" x14ac:dyDescent="0.25">
      <c r="A28" s="54" t="s">
        <v>17</v>
      </c>
    </row>
    <row r="29" spans="1:21" x14ac:dyDescent="0.25">
      <c r="A29" s="22"/>
      <c r="B29" s="34">
        <v>2018</v>
      </c>
      <c r="C29" s="34">
        <v>2019</v>
      </c>
      <c r="D29" s="34">
        <v>2020</v>
      </c>
      <c r="E29" s="34">
        <v>2021</v>
      </c>
      <c r="F29" s="34">
        <v>2022</v>
      </c>
      <c r="G29" s="34">
        <v>2023</v>
      </c>
      <c r="H29" s="34">
        <v>2024</v>
      </c>
      <c r="I29" s="34">
        <v>2025</v>
      </c>
      <c r="J29" s="34">
        <v>2026</v>
      </c>
      <c r="K29" s="34">
        <v>2027</v>
      </c>
      <c r="L29" s="34">
        <v>2028</v>
      </c>
      <c r="M29" s="34">
        <v>2029</v>
      </c>
      <c r="N29" s="34">
        <v>2030</v>
      </c>
      <c r="O29" s="34">
        <v>2031</v>
      </c>
      <c r="P29" s="34">
        <v>2032</v>
      </c>
      <c r="Q29" s="34">
        <v>2033</v>
      </c>
      <c r="R29" s="34">
        <v>2034</v>
      </c>
      <c r="S29" s="34">
        <v>2035</v>
      </c>
      <c r="T29" s="34">
        <v>2036</v>
      </c>
      <c r="U29" s="34">
        <v>2037</v>
      </c>
    </row>
    <row r="30" spans="1:21" x14ac:dyDescent="0.25">
      <c r="A30" s="22" t="str">
        <f>'6 Termination'!A17</f>
        <v>Pure LRIC termination cost</v>
      </c>
      <c r="B30" s="86" cm="1">
        <f t="array" ref="B30:U30">pure_lric</f>
        <v>1.0462409737175811E-2</v>
      </c>
      <c r="C30" s="86">
        <v>1.0462409737175811E-2</v>
      </c>
      <c r="D30" s="86">
        <v>1.0462409737175811E-2</v>
      </c>
      <c r="E30" s="86">
        <v>1.0462409737175811E-2</v>
      </c>
      <c r="F30" s="86">
        <v>1.0462409737175811E-2</v>
      </c>
      <c r="G30" s="86">
        <v>1.0462409737175811E-2</v>
      </c>
      <c r="H30" s="86">
        <v>1.0462409737175811E-2</v>
      </c>
      <c r="I30" s="86">
        <v>1.0462409737175811E-2</v>
      </c>
      <c r="J30" s="86">
        <v>1.0462409737175811E-2</v>
      </c>
      <c r="K30" s="86">
        <v>1.0462409737175811E-2</v>
      </c>
      <c r="L30" s="86">
        <v>1.0462409737175811E-2</v>
      </c>
      <c r="M30" s="86">
        <v>1.0462409737175811E-2</v>
      </c>
      <c r="N30" s="86">
        <v>1.0462409737175811E-2</v>
      </c>
      <c r="O30" s="86">
        <v>1.0462409737175811E-2</v>
      </c>
      <c r="P30" s="86">
        <v>1.0462409737175811E-2</v>
      </c>
      <c r="Q30" s="86">
        <v>1.0462409737175811E-2</v>
      </c>
      <c r="R30" s="86">
        <v>1.0462409737175811E-2</v>
      </c>
      <c r="S30" s="86">
        <v>1.0462409737175811E-2</v>
      </c>
      <c r="T30" s="86">
        <v>1.0462409737175811E-2</v>
      </c>
      <c r="U30" s="86">
        <v>1.0462409737175811E-2</v>
      </c>
    </row>
    <row r="31" spans="1:21" x14ac:dyDescent="0.25">
      <c r="B31" s="82"/>
      <c r="C31" s="82"/>
    </row>
    <row r="32" spans="1:21" x14ac:dyDescent="0.25">
      <c r="B32" s="82"/>
      <c r="C32" s="82"/>
    </row>
  </sheetData>
  <phoneticPr fontId="1" type="noConversion"/>
  <dataValidations count="2">
    <dataValidation type="list" allowBlank="1" showInputMessage="1" showErrorMessage="1" sqref="B18:B20" xr:uid="{12E14B34-24FB-42A6-BF87-D45BAE03149B}">
      <formula1>growth_scenarios</formula1>
    </dataValidation>
    <dataValidation type="list" allowBlank="1" showInputMessage="1" showErrorMessage="1" sqref="B22" xr:uid="{07CADBC5-664A-47E7-8DC0-2C4614F658A1}">
      <formula1>currency_scenario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C3C80-439D-4034-9C1C-7BF5C9DD8463}">
  <sheetPr>
    <tabColor theme="3" tint="0.79998168889431442"/>
  </sheetPr>
  <dimension ref="A1:U1"/>
  <sheetViews>
    <sheetView workbookViewId="0">
      <selection activeCell="I15" sqref="I15"/>
    </sheetView>
  </sheetViews>
  <sheetFormatPr defaultColWidth="15.7109375" defaultRowHeight="15" x14ac:dyDescent="0.25"/>
  <cols>
    <col min="1" max="16384" width="15.7109375" style="17"/>
  </cols>
  <sheetData>
    <row r="1" spans="1:21" ht="18.75" x14ac:dyDescent="0.3">
      <c r="A1" s="98" t="s">
        <v>18</v>
      </c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4A3E-8AA2-4AB5-9F3D-8BACE5465AE8}">
  <dimension ref="A1:W57"/>
  <sheetViews>
    <sheetView topLeftCell="A30" zoomScale="85" zoomScaleNormal="85" workbookViewId="0">
      <pane xSplit="1" topLeftCell="B1" activePane="topRight" state="frozen"/>
      <selection activeCell="C36" sqref="C36"/>
      <selection pane="topRight" activeCell="B57" sqref="B57"/>
    </sheetView>
  </sheetViews>
  <sheetFormatPr defaultColWidth="8.5703125" defaultRowHeight="15" x14ac:dyDescent="0.25"/>
  <cols>
    <col min="1" max="1" width="54.42578125" style="17" customWidth="1"/>
    <col min="2" max="21" width="15.7109375" style="17" customWidth="1"/>
    <col min="22" max="24" width="22" style="17" customWidth="1"/>
    <col min="25" max="25" width="18.42578125" style="17" bestFit="1" customWidth="1"/>
    <col min="26" max="27" width="18.42578125" style="17" customWidth="1"/>
    <col min="28" max="28" width="19.5703125" style="17" customWidth="1"/>
    <col min="29" max="29" width="13.5703125" style="17" bestFit="1" customWidth="1"/>
    <col min="30" max="30" width="12.42578125" style="17" customWidth="1"/>
    <col min="31" max="31" width="15.42578125" style="17" bestFit="1" customWidth="1"/>
    <col min="32" max="59" width="11.5703125" style="17" bestFit="1" customWidth="1"/>
    <col min="60" max="80" width="9.42578125" style="17" bestFit="1" customWidth="1"/>
    <col min="81" max="16384" width="8.5703125" style="17"/>
  </cols>
  <sheetData>
    <row r="1" spans="1:23" ht="18.75" x14ac:dyDescent="0.25">
      <c r="A1" s="32" t="s">
        <v>19</v>
      </c>
      <c r="B1" s="33"/>
      <c r="C1" s="33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3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8"/>
      <c r="W2" s="18"/>
    </row>
    <row r="4" spans="1:23" x14ac:dyDescent="0.25">
      <c r="A4" s="29"/>
    </row>
    <row r="5" spans="1:23" x14ac:dyDescent="0.25">
      <c r="A5" s="26" t="str">
        <f>'Volume projections'!A10</f>
        <v>On-net fixed to fixed traffic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7" spans="1:23" x14ac:dyDescent="0.25">
      <c r="A7" s="22"/>
      <c r="B7" s="34">
        <f>'Volume projections'!B12</f>
        <v>2018</v>
      </c>
      <c r="C7" s="34">
        <f>'Volume projections'!C12</f>
        <v>2019</v>
      </c>
      <c r="D7" s="34">
        <f>'Volume projections'!D12</f>
        <v>2020</v>
      </c>
      <c r="E7" s="34">
        <f>'Volume projections'!E12</f>
        <v>2021</v>
      </c>
      <c r="F7" s="34">
        <f>'Volume projections'!F12</f>
        <v>2022</v>
      </c>
      <c r="G7" s="34">
        <f>'Volume projections'!G12</f>
        <v>2023</v>
      </c>
      <c r="H7" s="34">
        <f>'Volume projections'!H12</f>
        <v>2024</v>
      </c>
      <c r="I7" s="34">
        <f>'Volume projections'!I12</f>
        <v>2025</v>
      </c>
      <c r="J7" s="34">
        <f>'Volume projections'!J12</f>
        <v>2026</v>
      </c>
      <c r="K7" s="34">
        <f>'Volume projections'!K12</f>
        <v>2027</v>
      </c>
      <c r="L7" s="34">
        <f>'Volume projections'!L12</f>
        <v>2028</v>
      </c>
      <c r="M7" s="34">
        <f>'Volume projections'!M12</f>
        <v>2029</v>
      </c>
      <c r="N7" s="34">
        <f>'Volume projections'!N12</f>
        <v>2030</v>
      </c>
      <c r="O7" s="34">
        <f>'Volume projections'!O12</f>
        <v>2031</v>
      </c>
      <c r="P7" s="34">
        <f>'Volume projections'!P12</f>
        <v>2032</v>
      </c>
      <c r="Q7" s="34">
        <f>'Volume projections'!Q12</f>
        <v>2033</v>
      </c>
      <c r="R7" s="34">
        <f>'Volume projections'!R12</f>
        <v>2034</v>
      </c>
      <c r="S7" s="34">
        <f>'Volume projections'!S12</f>
        <v>2035</v>
      </c>
      <c r="T7" s="34">
        <f>'Volume projections'!T12</f>
        <v>2036</v>
      </c>
      <c r="U7" s="34">
        <f>'Volume projections'!U12</f>
        <v>2037</v>
      </c>
    </row>
    <row r="8" spans="1:23" x14ac:dyDescent="0.25">
      <c r="A8" s="22" t="str">
        <f>'Volume projections'!A13</f>
        <v>Low growth scenario</v>
      </c>
      <c r="B8" s="31">
        <f>'Volume projections'!B13</f>
        <v>4255420800</v>
      </c>
      <c r="C8" s="31">
        <f>'Volume projections'!C13</f>
        <v>4289535600</v>
      </c>
      <c r="D8" s="31">
        <f>'Volume projections'!D13</f>
        <v>3994524000</v>
      </c>
      <c r="E8" s="31">
        <f>'Volume projections'!E13</f>
        <v>3773164800</v>
      </c>
      <c r="F8" s="31">
        <f>'Volume projections'!F13</f>
        <v>3754298976</v>
      </c>
      <c r="G8" s="31">
        <f>'Volume projections'!G13</f>
        <v>3735527481.1199999</v>
      </c>
      <c r="H8" s="31">
        <f>'Volume projections'!H13</f>
        <v>3716849843.7143998</v>
      </c>
      <c r="I8" s="31">
        <f>'Volume projections'!I13</f>
        <v>3698265594.4958277</v>
      </c>
      <c r="J8" s="31">
        <f>'Volume projections'!J13</f>
        <v>3679774266.5233483</v>
      </c>
      <c r="K8" s="31">
        <f>'Volume projections'!K13</f>
        <v>3661375395.1907315</v>
      </c>
      <c r="L8" s="31">
        <f>'Volume projections'!L13</f>
        <v>3643068518.2147779</v>
      </c>
      <c r="M8" s="31">
        <f>'Volume projections'!M13</f>
        <v>3624853175.623704</v>
      </c>
      <c r="N8" s="31">
        <f>'Volume projections'!N13</f>
        <v>3606728909.7455854</v>
      </c>
      <c r="O8" s="31">
        <f>'Volume projections'!O13</f>
        <v>3588695265.1968575</v>
      </c>
      <c r="P8" s="31">
        <f>'Volume projections'!P13</f>
        <v>3570751788.870873</v>
      </c>
      <c r="Q8" s="31">
        <f>'Volume projections'!Q13</f>
        <v>3552898029.9265184</v>
      </c>
      <c r="R8" s="31">
        <f>'Volume projections'!R13</f>
        <v>3535133539.776886</v>
      </c>
      <c r="S8" s="31">
        <f>'Volume projections'!S13</f>
        <v>3517457872.0780015</v>
      </c>
      <c r="T8" s="31">
        <f>'Volume projections'!T13</f>
        <v>3499870582.7176113</v>
      </c>
      <c r="U8" s="31">
        <f>'Volume projections'!U13</f>
        <v>3482371229.8040233</v>
      </c>
    </row>
    <row r="9" spans="1:23" x14ac:dyDescent="0.25">
      <c r="A9" s="22" t="str">
        <f>'Volume projections'!A14</f>
        <v>Medium growth scenario</v>
      </c>
      <c r="B9" s="31">
        <f>'Volume projections'!B14</f>
        <v>4255420800</v>
      </c>
      <c r="C9" s="31">
        <f>'Volume projections'!C14</f>
        <v>4289535600</v>
      </c>
      <c r="D9" s="31">
        <f>'Volume projections'!D14</f>
        <v>3994524000</v>
      </c>
      <c r="E9" s="31">
        <f>'Volume projections'!E14</f>
        <v>3773164800</v>
      </c>
      <c r="F9" s="31">
        <f>'Volume projections'!F14</f>
        <v>3773164800</v>
      </c>
      <c r="G9" s="31">
        <f>'Volume projections'!G14</f>
        <v>3773164800</v>
      </c>
      <c r="H9" s="31">
        <f>'Volume projections'!H14</f>
        <v>3773164800</v>
      </c>
      <c r="I9" s="31">
        <f>'Volume projections'!I14</f>
        <v>3773164800</v>
      </c>
      <c r="J9" s="31">
        <f>'Volume projections'!J14</f>
        <v>3773164800</v>
      </c>
      <c r="K9" s="31">
        <f>'Volume projections'!K14</f>
        <v>3773164800</v>
      </c>
      <c r="L9" s="31">
        <f>'Volume projections'!L14</f>
        <v>3773164800</v>
      </c>
      <c r="M9" s="31">
        <f>'Volume projections'!M14</f>
        <v>3773164800</v>
      </c>
      <c r="N9" s="31">
        <f>'Volume projections'!N14</f>
        <v>3773164800</v>
      </c>
      <c r="O9" s="31">
        <f>'Volume projections'!O14</f>
        <v>3773164800</v>
      </c>
      <c r="P9" s="31">
        <f>'Volume projections'!P14</f>
        <v>3773164800</v>
      </c>
      <c r="Q9" s="31">
        <f>'Volume projections'!Q14</f>
        <v>3773164800</v>
      </c>
      <c r="R9" s="31">
        <f>'Volume projections'!R14</f>
        <v>3773164800</v>
      </c>
      <c r="S9" s="31">
        <f>'Volume projections'!S14</f>
        <v>3773164800</v>
      </c>
      <c r="T9" s="31">
        <f>'Volume projections'!T14</f>
        <v>3773164800</v>
      </c>
      <c r="U9" s="31">
        <f>'Volume projections'!U14</f>
        <v>3773164800</v>
      </c>
    </row>
    <row r="10" spans="1:23" x14ac:dyDescent="0.25">
      <c r="A10" s="22" t="str">
        <f>'Volume projections'!A15</f>
        <v>High growth scenario</v>
      </c>
      <c r="B10" s="31">
        <f>'Volume projections'!B15</f>
        <v>4255420800</v>
      </c>
      <c r="C10" s="31">
        <f>'Volume projections'!C15</f>
        <v>4289535600</v>
      </c>
      <c r="D10" s="31">
        <f>'Volume projections'!D15</f>
        <v>3994524000</v>
      </c>
      <c r="E10" s="31">
        <f>'Volume projections'!E15</f>
        <v>3773164800</v>
      </c>
      <c r="F10" s="31">
        <f>'Volume projections'!F15</f>
        <v>3792030623.9999995</v>
      </c>
      <c r="G10" s="31">
        <f>'Volume projections'!G15</f>
        <v>3810990777.1199989</v>
      </c>
      <c r="H10" s="31">
        <f>'Volume projections'!H15</f>
        <v>3830045731.0055985</v>
      </c>
      <c r="I10" s="31">
        <f>'Volume projections'!I15</f>
        <v>3849195959.6606259</v>
      </c>
      <c r="J10" s="31">
        <f>'Volume projections'!J15</f>
        <v>3868441939.4589286</v>
      </c>
      <c r="K10" s="31">
        <f>'Volume projections'!K15</f>
        <v>3887784149.1562228</v>
      </c>
      <c r="L10" s="31">
        <f>'Volume projections'!L15</f>
        <v>3907223069.9020033</v>
      </c>
      <c r="M10" s="31">
        <f>'Volume projections'!M15</f>
        <v>3926759185.251513</v>
      </c>
      <c r="N10" s="31">
        <f>'Volume projections'!N15</f>
        <v>3946392981.1777701</v>
      </c>
      <c r="O10" s="31">
        <f>'Volume projections'!O15</f>
        <v>3966124946.0836587</v>
      </c>
      <c r="P10" s="31">
        <f>'Volume projections'!P15</f>
        <v>3985955570.8140764</v>
      </c>
      <c r="Q10" s="31">
        <f>'Volume projections'!Q15</f>
        <v>4005885348.6681466</v>
      </c>
      <c r="R10" s="31">
        <f>'Volume projections'!R15</f>
        <v>4025914775.4114871</v>
      </c>
      <c r="S10" s="31">
        <f>'Volume projections'!S15</f>
        <v>4046044349.2885442</v>
      </c>
      <c r="T10" s="31">
        <f>'Volume projections'!T15</f>
        <v>4066274571.0349865</v>
      </c>
      <c r="U10" s="31">
        <f>'Volume projections'!U15</f>
        <v>4086605943.890161</v>
      </c>
    </row>
    <row r="12" spans="1:23" x14ac:dyDescent="0.25">
      <c r="A12" s="26" t="str">
        <f>'Volume projections'!A17</f>
        <v>Incoming fixed to fixed traffic</v>
      </c>
    </row>
    <row r="14" spans="1:23" x14ac:dyDescent="0.25">
      <c r="A14" s="22"/>
      <c r="B14" s="34">
        <f>'Volume projections'!B19</f>
        <v>2018</v>
      </c>
      <c r="C14" s="34">
        <f>'Volume projections'!C19</f>
        <v>2019</v>
      </c>
      <c r="D14" s="34">
        <f>'Volume projections'!D19</f>
        <v>2020</v>
      </c>
      <c r="E14" s="34">
        <f>'Volume projections'!E19</f>
        <v>2021</v>
      </c>
      <c r="F14" s="34">
        <f>'Volume projections'!F19</f>
        <v>2022</v>
      </c>
      <c r="G14" s="34">
        <f>'Volume projections'!G19</f>
        <v>2023</v>
      </c>
      <c r="H14" s="34">
        <f>'Volume projections'!H19</f>
        <v>2024</v>
      </c>
      <c r="I14" s="34">
        <f>'Volume projections'!I19</f>
        <v>2025</v>
      </c>
      <c r="J14" s="34">
        <f>'Volume projections'!J19</f>
        <v>2026</v>
      </c>
      <c r="K14" s="34">
        <f>'Volume projections'!K19</f>
        <v>2027</v>
      </c>
      <c r="L14" s="34">
        <f>'Volume projections'!L19</f>
        <v>2028</v>
      </c>
      <c r="M14" s="34">
        <f>'Volume projections'!M19</f>
        <v>2029</v>
      </c>
      <c r="N14" s="34">
        <f>'Volume projections'!N19</f>
        <v>2030</v>
      </c>
      <c r="O14" s="34">
        <f>'Volume projections'!O19</f>
        <v>2031</v>
      </c>
      <c r="P14" s="34">
        <f>'Volume projections'!P19</f>
        <v>2032</v>
      </c>
      <c r="Q14" s="34">
        <f>'Volume projections'!Q19</f>
        <v>2033</v>
      </c>
      <c r="R14" s="34">
        <f>'Volume projections'!R19</f>
        <v>2034</v>
      </c>
      <c r="S14" s="34">
        <f>'Volume projections'!S19</f>
        <v>2035</v>
      </c>
      <c r="T14" s="34">
        <f>'Volume projections'!T19</f>
        <v>2036</v>
      </c>
      <c r="U14" s="34">
        <f>'Volume projections'!U19</f>
        <v>2037</v>
      </c>
    </row>
    <row r="15" spans="1:23" x14ac:dyDescent="0.25">
      <c r="A15" s="22" t="str">
        <f>'Volume projections'!A20</f>
        <v>Low growth scenario</v>
      </c>
      <c r="B15" s="31">
        <f>'Volume projections'!B20</f>
        <v>2836947200</v>
      </c>
      <c r="C15" s="31">
        <f>'Volume projections'!C20</f>
        <v>2859690400</v>
      </c>
      <c r="D15" s="31">
        <f>'Volume projections'!D20</f>
        <v>2663016000</v>
      </c>
      <c r="E15" s="31">
        <f>'Volume projections'!E20</f>
        <v>2515443200</v>
      </c>
      <c r="F15" s="31">
        <f>'Volume projections'!F20</f>
        <v>2502865984</v>
      </c>
      <c r="G15" s="31">
        <f>'Volume projections'!G20</f>
        <v>2490351654.0799999</v>
      </c>
      <c r="H15" s="31">
        <f>'Volume projections'!H20</f>
        <v>2477899895.8095999</v>
      </c>
      <c r="I15" s="31">
        <f>'Volume projections'!I20</f>
        <v>2465510396.3305521</v>
      </c>
      <c r="J15" s="31">
        <f>'Volume projections'!J20</f>
        <v>2453182844.3488994</v>
      </c>
      <c r="K15" s="31">
        <f>'Volume projections'!K20</f>
        <v>2440916930.1271548</v>
      </c>
      <c r="L15" s="31">
        <f>'Volume projections'!L20</f>
        <v>2428712345.4765191</v>
      </c>
      <c r="M15" s="31">
        <f>'Volume projections'!M20</f>
        <v>2416568783.7491364</v>
      </c>
      <c r="N15" s="31">
        <f>'Volume projections'!N20</f>
        <v>2404485939.8303909</v>
      </c>
      <c r="O15" s="31">
        <f>'Volume projections'!O20</f>
        <v>2392463510.1312389</v>
      </c>
      <c r="P15" s="31">
        <f>'Volume projections'!P20</f>
        <v>2380501192.5805826</v>
      </c>
      <c r="Q15" s="31">
        <f>'Volume projections'!Q20</f>
        <v>2368598686.6176796</v>
      </c>
      <c r="R15" s="31">
        <f>'Volume projections'!R20</f>
        <v>2356755693.1845913</v>
      </c>
      <c r="S15" s="31">
        <f>'Volume projections'!S20</f>
        <v>2344971914.7186685</v>
      </c>
      <c r="T15" s="31">
        <f>'Volume projections'!T20</f>
        <v>2333247055.1450753</v>
      </c>
      <c r="U15" s="31">
        <f>'Volume projections'!U20</f>
        <v>2321580819.86935</v>
      </c>
    </row>
    <row r="16" spans="1:23" x14ac:dyDescent="0.25">
      <c r="A16" s="22" t="str">
        <f>'Volume projections'!A21</f>
        <v>Medium growth scenario</v>
      </c>
      <c r="B16" s="31">
        <f>'Volume projections'!B21</f>
        <v>2836947200</v>
      </c>
      <c r="C16" s="31">
        <f>'Volume projections'!C21</f>
        <v>2859690400</v>
      </c>
      <c r="D16" s="31">
        <f>'Volume projections'!D21</f>
        <v>2663016000</v>
      </c>
      <c r="E16" s="31">
        <f>'Volume projections'!E21</f>
        <v>2515443200</v>
      </c>
      <c r="F16" s="31">
        <f>'Volume projections'!F21</f>
        <v>2515443200</v>
      </c>
      <c r="G16" s="31">
        <f>'Volume projections'!G21</f>
        <v>2515443200</v>
      </c>
      <c r="H16" s="31">
        <f>'Volume projections'!H21</f>
        <v>2515443200</v>
      </c>
      <c r="I16" s="31">
        <f>'Volume projections'!I21</f>
        <v>2515443200</v>
      </c>
      <c r="J16" s="31">
        <f>'Volume projections'!J21</f>
        <v>2515443200</v>
      </c>
      <c r="K16" s="31">
        <f>'Volume projections'!K21</f>
        <v>2515443200</v>
      </c>
      <c r="L16" s="31">
        <f>'Volume projections'!L21</f>
        <v>2515443200</v>
      </c>
      <c r="M16" s="31">
        <f>'Volume projections'!M21</f>
        <v>2515443200</v>
      </c>
      <c r="N16" s="31">
        <f>'Volume projections'!N21</f>
        <v>2515443200</v>
      </c>
      <c r="O16" s="31">
        <f>'Volume projections'!O21</f>
        <v>2515443200</v>
      </c>
      <c r="P16" s="31">
        <f>'Volume projections'!P21</f>
        <v>2515443200</v>
      </c>
      <c r="Q16" s="31">
        <f>'Volume projections'!Q21</f>
        <v>2515443200</v>
      </c>
      <c r="R16" s="31">
        <f>'Volume projections'!R21</f>
        <v>2515443200</v>
      </c>
      <c r="S16" s="31">
        <f>'Volume projections'!S21</f>
        <v>2515443200</v>
      </c>
      <c r="T16" s="31">
        <f>'Volume projections'!T21</f>
        <v>2515443200</v>
      </c>
      <c r="U16" s="31">
        <f>'Volume projections'!U21</f>
        <v>2515443200</v>
      </c>
    </row>
    <row r="17" spans="1:21" x14ac:dyDescent="0.25">
      <c r="A17" s="22" t="str">
        <f>'Volume projections'!A22</f>
        <v>High growth scenario</v>
      </c>
      <c r="B17" s="31">
        <f>'Volume projections'!B22</f>
        <v>2836947200</v>
      </c>
      <c r="C17" s="31">
        <f>'Volume projections'!C22</f>
        <v>2859690400</v>
      </c>
      <c r="D17" s="31">
        <f>'Volume projections'!D22</f>
        <v>2663016000</v>
      </c>
      <c r="E17" s="31">
        <f>'Volume projections'!E22</f>
        <v>2515443200</v>
      </c>
      <c r="F17" s="31">
        <f>'Volume projections'!F22</f>
        <v>2528020415.9999995</v>
      </c>
      <c r="G17" s="31">
        <f>'Volume projections'!G22</f>
        <v>2540660518.0799994</v>
      </c>
      <c r="H17" s="31">
        <f>'Volume projections'!H22</f>
        <v>2553363820.6703992</v>
      </c>
      <c r="I17" s="31">
        <f>'Volume projections'!I22</f>
        <v>2566130639.7737508</v>
      </c>
      <c r="J17" s="31">
        <f>'Volume projections'!J22</f>
        <v>2578961292.9726191</v>
      </c>
      <c r="K17" s="31">
        <f>'Volume projections'!K22</f>
        <v>2591856099.4374819</v>
      </c>
      <c r="L17" s="31">
        <f>'Volume projections'!L22</f>
        <v>2604815379.934669</v>
      </c>
      <c r="M17" s="31">
        <f>'Volume projections'!M22</f>
        <v>2617839456.834342</v>
      </c>
      <c r="N17" s="31">
        <f>'Volume projections'!N22</f>
        <v>2630928654.1185136</v>
      </c>
      <c r="O17" s="31">
        <f>'Volume projections'!O22</f>
        <v>2644083297.3891058</v>
      </c>
      <c r="P17" s="31">
        <f>'Volume projections'!P22</f>
        <v>2657303713.8760509</v>
      </c>
      <c r="Q17" s="31">
        <f>'Volume projections'!Q22</f>
        <v>2670590232.4454308</v>
      </c>
      <c r="R17" s="31">
        <f>'Volume projections'!R22</f>
        <v>2683943183.6076574</v>
      </c>
      <c r="S17" s="31">
        <f>'Volume projections'!S22</f>
        <v>2697362899.5256953</v>
      </c>
      <c r="T17" s="31">
        <f>'Volume projections'!T22</f>
        <v>2710849714.0233235</v>
      </c>
      <c r="U17" s="31">
        <f>'Volume projections'!U22</f>
        <v>2724403962.5934401</v>
      </c>
    </row>
    <row r="19" spans="1:21" x14ac:dyDescent="0.25">
      <c r="A19" s="26" t="str">
        <f>'Volume projections'!A24</f>
        <v>Off-net fixed to fixed traffic</v>
      </c>
    </row>
    <row r="21" spans="1:21" x14ac:dyDescent="0.25">
      <c r="A21" s="22"/>
      <c r="B21" s="34">
        <f>'Volume projections'!B26</f>
        <v>2018</v>
      </c>
      <c r="C21" s="34">
        <f>'Volume projections'!C26</f>
        <v>2019</v>
      </c>
      <c r="D21" s="34">
        <f>'Volume projections'!D26</f>
        <v>2020</v>
      </c>
      <c r="E21" s="34">
        <f>'Volume projections'!E26</f>
        <v>2021</v>
      </c>
      <c r="F21" s="34">
        <f>'Volume projections'!F26</f>
        <v>2022</v>
      </c>
      <c r="G21" s="34">
        <f>'Volume projections'!G26</f>
        <v>2023</v>
      </c>
      <c r="H21" s="34">
        <f>'Volume projections'!H26</f>
        <v>2024</v>
      </c>
      <c r="I21" s="34">
        <f>'Volume projections'!I26</f>
        <v>2025</v>
      </c>
      <c r="J21" s="34">
        <f>'Volume projections'!J26</f>
        <v>2026</v>
      </c>
      <c r="K21" s="34">
        <f>'Volume projections'!K26</f>
        <v>2027</v>
      </c>
      <c r="L21" s="34">
        <f>'Volume projections'!L26</f>
        <v>2028</v>
      </c>
      <c r="M21" s="34">
        <f>'Volume projections'!M26</f>
        <v>2029</v>
      </c>
      <c r="N21" s="34">
        <f>'Volume projections'!N26</f>
        <v>2030</v>
      </c>
      <c r="O21" s="34">
        <f>'Volume projections'!O26</f>
        <v>2031</v>
      </c>
      <c r="P21" s="34">
        <f>'Volume projections'!P26</f>
        <v>2032</v>
      </c>
      <c r="Q21" s="34">
        <f>'Volume projections'!Q26</f>
        <v>2033</v>
      </c>
      <c r="R21" s="34">
        <f>'Volume projections'!R26</f>
        <v>2034</v>
      </c>
      <c r="S21" s="34">
        <f>'Volume projections'!S26</f>
        <v>2035</v>
      </c>
      <c r="T21" s="34">
        <f>'Volume projections'!T26</f>
        <v>2036</v>
      </c>
      <c r="U21" s="34">
        <f>'Volume projections'!U26</f>
        <v>2037</v>
      </c>
    </row>
    <row r="22" spans="1:21" x14ac:dyDescent="0.25">
      <c r="A22" s="22" t="str">
        <f>'Volume projections'!A27</f>
        <v>Low growth scenario</v>
      </c>
      <c r="B22" s="31">
        <f>'Volume projections'!B27</f>
        <v>2836947200</v>
      </c>
      <c r="C22" s="31">
        <f>'Volume projections'!C27</f>
        <v>2859690400</v>
      </c>
      <c r="D22" s="31">
        <f>'Volume projections'!D27</f>
        <v>2663016000</v>
      </c>
      <c r="E22" s="31">
        <f>'Volume projections'!E27</f>
        <v>2515443200</v>
      </c>
      <c r="F22" s="31">
        <f>'Volume projections'!F27</f>
        <v>2502865984</v>
      </c>
      <c r="G22" s="31">
        <f>'Volume projections'!G27</f>
        <v>2490351654.0799999</v>
      </c>
      <c r="H22" s="31">
        <f>'Volume projections'!H27</f>
        <v>2477899895.8095999</v>
      </c>
      <c r="I22" s="31">
        <f>'Volume projections'!I27</f>
        <v>2465510396.3305521</v>
      </c>
      <c r="J22" s="31">
        <f>'Volume projections'!J27</f>
        <v>2453182844.3488994</v>
      </c>
      <c r="K22" s="31">
        <f>'Volume projections'!K27</f>
        <v>2440916930.1271548</v>
      </c>
      <c r="L22" s="31">
        <f>'Volume projections'!L27</f>
        <v>2428712345.4765191</v>
      </c>
      <c r="M22" s="31">
        <f>'Volume projections'!M27</f>
        <v>2416568783.7491364</v>
      </c>
      <c r="N22" s="31">
        <f>'Volume projections'!N27</f>
        <v>2404485939.8303909</v>
      </c>
      <c r="O22" s="31">
        <f>'Volume projections'!O27</f>
        <v>2392463510.1312389</v>
      </c>
      <c r="P22" s="31">
        <f>'Volume projections'!P27</f>
        <v>2380501192.5805826</v>
      </c>
      <c r="Q22" s="31">
        <f>'Volume projections'!Q27</f>
        <v>2368598686.6176796</v>
      </c>
      <c r="R22" s="31">
        <f>'Volume projections'!R27</f>
        <v>2356755693.1845913</v>
      </c>
      <c r="S22" s="31">
        <f>'Volume projections'!S27</f>
        <v>2344971914.7186685</v>
      </c>
      <c r="T22" s="31">
        <f>'Volume projections'!T27</f>
        <v>2333247055.1450753</v>
      </c>
      <c r="U22" s="31">
        <f>'Volume projections'!U27</f>
        <v>2321580819.86935</v>
      </c>
    </row>
    <row r="23" spans="1:21" x14ac:dyDescent="0.25">
      <c r="A23" s="22" t="str">
        <f>'Volume projections'!A28</f>
        <v>Medium growth scenario</v>
      </c>
      <c r="B23" s="31">
        <f>'Volume projections'!B28</f>
        <v>2836947200</v>
      </c>
      <c r="C23" s="31">
        <f>'Volume projections'!C28</f>
        <v>2859690400</v>
      </c>
      <c r="D23" s="31">
        <f>'Volume projections'!D28</f>
        <v>2663016000</v>
      </c>
      <c r="E23" s="31">
        <f>'Volume projections'!E28</f>
        <v>2515443200</v>
      </c>
      <c r="F23" s="31">
        <f>'Volume projections'!F28</f>
        <v>2515443200</v>
      </c>
      <c r="G23" s="31">
        <f>'Volume projections'!G28</f>
        <v>2515443200</v>
      </c>
      <c r="H23" s="31">
        <f>'Volume projections'!H28</f>
        <v>2515443200</v>
      </c>
      <c r="I23" s="31">
        <f>'Volume projections'!I28</f>
        <v>2515443200</v>
      </c>
      <c r="J23" s="31">
        <f>'Volume projections'!J28</f>
        <v>2515443200</v>
      </c>
      <c r="K23" s="31">
        <f>'Volume projections'!K28</f>
        <v>2515443200</v>
      </c>
      <c r="L23" s="31">
        <f>'Volume projections'!L28</f>
        <v>2515443200</v>
      </c>
      <c r="M23" s="31">
        <f>'Volume projections'!M28</f>
        <v>2515443200</v>
      </c>
      <c r="N23" s="31">
        <f>'Volume projections'!N28</f>
        <v>2515443200</v>
      </c>
      <c r="O23" s="31">
        <f>'Volume projections'!O28</f>
        <v>2515443200</v>
      </c>
      <c r="P23" s="31">
        <f>'Volume projections'!P28</f>
        <v>2515443200</v>
      </c>
      <c r="Q23" s="31">
        <f>'Volume projections'!Q28</f>
        <v>2515443200</v>
      </c>
      <c r="R23" s="31">
        <f>'Volume projections'!R28</f>
        <v>2515443200</v>
      </c>
      <c r="S23" s="31">
        <f>'Volume projections'!S28</f>
        <v>2515443200</v>
      </c>
      <c r="T23" s="31">
        <f>'Volume projections'!T28</f>
        <v>2515443200</v>
      </c>
      <c r="U23" s="31">
        <f>'Volume projections'!U28</f>
        <v>2515443200</v>
      </c>
    </row>
    <row r="24" spans="1:21" x14ac:dyDescent="0.25">
      <c r="A24" s="22" t="str">
        <f>'Volume projections'!A29</f>
        <v>High growth scenario</v>
      </c>
      <c r="B24" s="31">
        <f>'Volume projections'!B29</f>
        <v>2836947200</v>
      </c>
      <c r="C24" s="31">
        <f>'Volume projections'!C29</f>
        <v>2859690400</v>
      </c>
      <c r="D24" s="31">
        <f>'Volume projections'!D29</f>
        <v>2663016000</v>
      </c>
      <c r="E24" s="31">
        <f>'Volume projections'!E29</f>
        <v>2515443200</v>
      </c>
      <c r="F24" s="31">
        <f>'Volume projections'!F29</f>
        <v>2528020415.9999995</v>
      </c>
      <c r="G24" s="31">
        <f>'Volume projections'!G29</f>
        <v>2540660518.0799994</v>
      </c>
      <c r="H24" s="31">
        <f>'Volume projections'!H29</f>
        <v>2553363820.6703992</v>
      </c>
      <c r="I24" s="31">
        <f>'Volume projections'!I29</f>
        <v>2566130639.7737508</v>
      </c>
      <c r="J24" s="31">
        <f>'Volume projections'!J29</f>
        <v>2578961292.9726191</v>
      </c>
      <c r="K24" s="31">
        <f>'Volume projections'!K29</f>
        <v>2591856099.4374819</v>
      </c>
      <c r="L24" s="31">
        <f>'Volume projections'!L29</f>
        <v>2604815379.934669</v>
      </c>
      <c r="M24" s="31">
        <f>'Volume projections'!M29</f>
        <v>2617839456.834342</v>
      </c>
      <c r="N24" s="31">
        <f>'Volume projections'!N29</f>
        <v>2630928654.1185136</v>
      </c>
      <c r="O24" s="31">
        <f>'Volume projections'!O29</f>
        <v>2644083297.3891058</v>
      </c>
      <c r="P24" s="31">
        <f>'Volume projections'!P29</f>
        <v>2657303713.8760509</v>
      </c>
      <c r="Q24" s="31">
        <f>'Volume projections'!Q29</f>
        <v>2670590232.4454308</v>
      </c>
      <c r="R24" s="31">
        <f>'Volume projections'!R29</f>
        <v>2683943183.6076574</v>
      </c>
      <c r="S24" s="31">
        <f>'Volume projections'!S29</f>
        <v>2697362899.5256953</v>
      </c>
      <c r="T24" s="31">
        <f>'Volume projections'!T29</f>
        <v>2710849714.0233235</v>
      </c>
      <c r="U24" s="31">
        <f>'Volume projections'!U29</f>
        <v>2724403962.5934401</v>
      </c>
    </row>
    <row r="26" spans="1:21" x14ac:dyDescent="0.25">
      <c r="A26" s="26" t="str">
        <f>'Volume projections'!A31</f>
        <v>Fixed to Mobile Telephone traffic</v>
      </c>
    </row>
    <row r="28" spans="1:21" x14ac:dyDescent="0.25">
      <c r="A28" s="22"/>
      <c r="B28" s="34">
        <f>'Volume projections'!B33</f>
        <v>2018</v>
      </c>
      <c r="C28" s="34">
        <f>'Volume projections'!C33</f>
        <v>2019</v>
      </c>
      <c r="D28" s="34">
        <f>'Volume projections'!D33</f>
        <v>2020</v>
      </c>
      <c r="E28" s="34">
        <f>'Volume projections'!E33</f>
        <v>2021</v>
      </c>
      <c r="F28" s="34">
        <f>'Volume projections'!F33</f>
        <v>2022</v>
      </c>
      <c r="G28" s="34">
        <f>'Volume projections'!G33</f>
        <v>2023</v>
      </c>
      <c r="H28" s="34">
        <f>'Volume projections'!H33</f>
        <v>2024</v>
      </c>
      <c r="I28" s="34">
        <f>'Volume projections'!I33</f>
        <v>2025</v>
      </c>
      <c r="J28" s="34">
        <f>'Volume projections'!J33</f>
        <v>2026</v>
      </c>
      <c r="K28" s="34">
        <f>'Volume projections'!K33</f>
        <v>2027</v>
      </c>
      <c r="L28" s="34">
        <f>'Volume projections'!L33</f>
        <v>2028</v>
      </c>
      <c r="M28" s="34">
        <f>'Volume projections'!M33</f>
        <v>2029</v>
      </c>
      <c r="N28" s="34">
        <f>'Volume projections'!N33</f>
        <v>2030</v>
      </c>
      <c r="O28" s="34">
        <f>'Volume projections'!O33</f>
        <v>2031</v>
      </c>
      <c r="P28" s="34">
        <f>'Volume projections'!P33</f>
        <v>2032</v>
      </c>
      <c r="Q28" s="34">
        <f>'Volume projections'!Q33</f>
        <v>2033</v>
      </c>
      <c r="R28" s="34">
        <f>'Volume projections'!R33</f>
        <v>2034</v>
      </c>
      <c r="S28" s="34">
        <f>'Volume projections'!S33</f>
        <v>2035</v>
      </c>
      <c r="T28" s="34">
        <f>'Volume projections'!T33</f>
        <v>2036</v>
      </c>
      <c r="U28" s="34">
        <f>'Volume projections'!U33</f>
        <v>2037</v>
      </c>
    </row>
    <row r="29" spans="1:21" x14ac:dyDescent="0.25">
      <c r="A29" s="22" t="str">
        <f>'Volume projections'!A34</f>
        <v>Low growth scenario</v>
      </c>
      <c r="B29" s="31">
        <f>'Volume projections'!B34</f>
        <v>8551483500</v>
      </c>
      <c r="C29" s="31">
        <f>'Volume projections'!C34</f>
        <v>8327647999.999999</v>
      </c>
      <c r="D29" s="31">
        <f>'Volume projections'!D34</f>
        <v>9636810000</v>
      </c>
      <c r="E29" s="31">
        <f>'Volume projections'!E34</f>
        <v>9641760000</v>
      </c>
      <c r="F29" s="31">
        <f>'Volume projections'!F34</f>
        <v>9593551200</v>
      </c>
      <c r="G29" s="31">
        <f>'Volume projections'!G34</f>
        <v>9545583444</v>
      </c>
      <c r="H29" s="31">
        <f>'Volume projections'!H34</f>
        <v>9497855526.7800007</v>
      </c>
      <c r="I29" s="31">
        <f>'Volume projections'!I34</f>
        <v>9450366249.146101</v>
      </c>
      <c r="J29" s="31">
        <f>'Volume projections'!J34</f>
        <v>9403114417.9003696</v>
      </c>
      <c r="K29" s="31">
        <f>'Volume projections'!K34</f>
        <v>9356098845.8108673</v>
      </c>
      <c r="L29" s="31">
        <f>'Volume projections'!L34</f>
        <v>9309318351.5818138</v>
      </c>
      <c r="M29" s="31">
        <f>'Volume projections'!M34</f>
        <v>9262771759.823904</v>
      </c>
      <c r="N29" s="31">
        <f>'Volume projections'!N34</f>
        <v>9216457901.0247841</v>
      </c>
      <c r="O29" s="31">
        <f>'Volume projections'!O34</f>
        <v>9170375611.5196609</v>
      </c>
      <c r="P29" s="31">
        <f>'Volume projections'!P34</f>
        <v>9124523733.4620628</v>
      </c>
      <c r="Q29" s="31">
        <f>'Volume projections'!Q34</f>
        <v>9078901114.7947521</v>
      </c>
      <c r="R29" s="31">
        <f>'Volume projections'!R34</f>
        <v>9033506609.2207775</v>
      </c>
      <c r="S29" s="31">
        <f>'Volume projections'!S34</f>
        <v>8988339076.1746731</v>
      </c>
      <c r="T29" s="31">
        <f>'Volume projections'!T34</f>
        <v>8943397380.7938004</v>
      </c>
      <c r="U29" s="31">
        <f>'Volume projections'!U34</f>
        <v>8898680393.8898315</v>
      </c>
    </row>
    <row r="30" spans="1:21" x14ac:dyDescent="0.25">
      <c r="A30" s="22" t="str">
        <f>'Volume projections'!A35</f>
        <v>Medium growth scenario</v>
      </c>
      <c r="B30" s="31">
        <f>'Volume projections'!B35</f>
        <v>8551483500</v>
      </c>
      <c r="C30" s="31">
        <f>'Volume projections'!C35</f>
        <v>8327647999.999999</v>
      </c>
      <c r="D30" s="31">
        <f>'Volume projections'!D35</f>
        <v>9636810000</v>
      </c>
      <c r="E30" s="31">
        <f>'Volume projections'!E35</f>
        <v>9641760000</v>
      </c>
      <c r="F30" s="31">
        <f>'Volume projections'!F35</f>
        <v>9641760000</v>
      </c>
      <c r="G30" s="31">
        <f>'Volume projections'!G35</f>
        <v>9641760000</v>
      </c>
      <c r="H30" s="31">
        <f>'Volume projections'!H35</f>
        <v>9641760000</v>
      </c>
      <c r="I30" s="31">
        <f>'Volume projections'!I35</f>
        <v>9641760000</v>
      </c>
      <c r="J30" s="31">
        <f>'Volume projections'!J35</f>
        <v>9641760000</v>
      </c>
      <c r="K30" s="31">
        <f>'Volume projections'!K35</f>
        <v>9641760000</v>
      </c>
      <c r="L30" s="31">
        <f>'Volume projections'!L35</f>
        <v>9641760000</v>
      </c>
      <c r="M30" s="31">
        <f>'Volume projections'!M35</f>
        <v>9641760000</v>
      </c>
      <c r="N30" s="31">
        <f>'Volume projections'!N35</f>
        <v>9641760000</v>
      </c>
      <c r="O30" s="31">
        <f>'Volume projections'!O35</f>
        <v>9641760000</v>
      </c>
      <c r="P30" s="31">
        <f>'Volume projections'!P35</f>
        <v>9641760000</v>
      </c>
      <c r="Q30" s="31">
        <f>'Volume projections'!Q35</f>
        <v>9641760000</v>
      </c>
      <c r="R30" s="31">
        <f>'Volume projections'!R35</f>
        <v>9641760000</v>
      </c>
      <c r="S30" s="31">
        <f>'Volume projections'!S35</f>
        <v>9641760000</v>
      </c>
      <c r="T30" s="31">
        <f>'Volume projections'!T35</f>
        <v>9641760000</v>
      </c>
      <c r="U30" s="31">
        <f>'Volume projections'!U35</f>
        <v>9641760000</v>
      </c>
    </row>
    <row r="31" spans="1:21" x14ac:dyDescent="0.25">
      <c r="A31" s="22" t="str">
        <f>'Volume projections'!A36</f>
        <v>High growth scenario</v>
      </c>
      <c r="B31" s="31">
        <f>'Volume projections'!B36</f>
        <v>8551483500</v>
      </c>
      <c r="C31" s="31">
        <f>'Volume projections'!C36</f>
        <v>8327647999.999999</v>
      </c>
      <c r="D31" s="31">
        <f>'Volume projections'!D36</f>
        <v>9636810000</v>
      </c>
      <c r="E31" s="31">
        <f>'Volume projections'!E36</f>
        <v>9641760000</v>
      </c>
      <c r="F31" s="31">
        <f>'Volume projections'!F36</f>
        <v>9689968799.9999981</v>
      </c>
      <c r="G31" s="31">
        <f>'Volume projections'!G36</f>
        <v>9738418643.9999962</v>
      </c>
      <c r="H31" s="31">
        <f>'Volume projections'!H36</f>
        <v>9787110737.2199955</v>
      </c>
      <c r="I31" s="31">
        <f>'Volume projections'!I36</f>
        <v>9836046290.9060936</v>
      </c>
      <c r="J31" s="31">
        <f>'Volume projections'!J36</f>
        <v>9885226522.3606224</v>
      </c>
      <c r="K31" s="31">
        <f>'Volume projections'!K36</f>
        <v>9934652654.9724236</v>
      </c>
      <c r="L31" s="31">
        <f>'Volume projections'!L36</f>
        <v>9984325918.2472839</v>
      </c>
      <c r="M31" s="31">
        <f>'Volume projections'!M36</f>
        <v>10034247547.83852</v>
      </c>
      <c r="N31" s="31">
        <f>'Volume projections'!N36</f>
        <v>10084418785.577711</v>
      </c>
      <c r="O31" s="31">
        <f>'Volume projections'!O36</f>
        <v>10134840879.505598</v>
      </c>
      <c r="P31" s="31">
        <f>'Volume projections'!P36</f>
        <v>10185515083.903126</v>
      </c>
      <c r="Q31" s="31">
        <f>'Volume projections'!Q36</f>
        <v>10236442659.322639</v>
      </c>
      <c r="R31" s="31">
        <f>'Volume projections'!R36</f>
        <v>10287624872.619251</v>
      </c>
      <c r="S31" s="31">
        <f>'Volume projections'!S36</f>
        <v>10339062996.982346</v>
      </c>
      <c r="T31" s="31">
        <f>'Volume projections'!T36</f>
        <v>10390758311.967257</v>
      </c>
      <c r="U31" s="31">
        <f>'Volume projections'!U36</f>
        <v>10442712103.527092</v>
      </c>
    </row>
    <row r="33" spans="1:21" x14ac:dyDescent="0.25">
      <c r="A33" s="26" t="str">
        <f>'Volume projections'!A38</f>
        <v>Outgoing mobile traffic to fixed networks</v>
      </c>
    </row>
    <row r="35" spans="1:21" x14ac:dyDescent="0.25">
      <c r="A35" s="22"/>
      <c r="B35" s="34">
        <f>'Volume projections'!B40</f>
        <v>2018</v>
      </c>
      <c r="C35" s="34">
        <f>'Volume projections'!C40</f>
        <v>2019</v>
      </c>
      <c r="D35" s="34">
        <f>'Volume projections'!D40</f>
        <v>2020</v>
      </c>
      <c r="E35" s="34">
        <f>'Volume projections'!E40</f>
        <v>2021</v>
      </c>
      <c r="F35" s="34">
        <f>'Volume projections'!F40</f>
        <v>2022</v>
      </c>
      <c r="G35" s="34">
        <f>'Volume projections'!G40</f>
        <v>2023</v>
      </c>
      <c r="H35" s="34">
        <f>'Volume projections'!H40</f>
        <v>2024</v>
      </c>
      <c r="I35" s="34">
        <f>'Volume projections'!I40</f>
        <v>2025</v>
      </c>
      <c r="J35" s="34">
        <f>'Volume projections'!J40</f>
        <v>2026</v>
      </c>
      <c r="K35" s="34">
        <f>'Volume projections'!K40</f>
        <v>2027</v>
      </c>
      <c r="L35" s="34">
        <f>'Volume projections'!L40</f>
        <v>2028</v>
      </c>
      <c r="M35" s="34">
        <f>'Volume projections'!M40</f>
        <v>2029</v>
      </c>
      <c r="N35" s="34">
        <f>'Volume projections'!N40</f>
        <v>2030</v>
      </c>
      <c r="O35" s="34">
        <f>'Volume projections'!O40</f>
        <v>2031</v>
      </c>
      <c r="P35" s="34">
        <f>'Volume projections'!P40</f>
        <v>2032</v>
      </c>
      <c r="Q35" s="34">
        <f>'Volume projections'!Q40</f>
        <v>2033</v>
      </c>
      <c r="R35" s="34">
        <f>'Volume projections'!R40</f>
        <v>2034</v>
      </c>
      <c r="S35" s="34">
        <f>'Volume projections'!S40</f>
        <v>2035</v>
      </c>
      <c r="T35" s="34">
        <f>'Volume projections'!T40</f>
        <v>2036</v>
      </c>
      <c r="U35" s="34">
        <f>'Volume projections'!U40</f>
        <v>2037</v>
      </c>
    </row>
    <row r="36" spans="1:21" x14ac:dyDescent="0.25">
      <c r="A36" s="22" t="str">
        <f>'Volume projections'!A41</f>
        <v>Low growth scenario</v>
      </c>
      <c r="B36" s="31">
        <f>'Volume projections'!B41</f>
        <v>2484972000</v>
      </c>
      <c r="C36" s="31">
        <f>'Volume projections'!C41</f>
        <v>3448648000</v>
      </c>
      <c r="D36" s="31">
        <f>'Volume projections'!D41</f>
        <v>4418355000</v>
      </c>
      <c r="E36" s="31">
        <f>'Volume projections'!E41</f>
        <v>4390736000</v>
      </c>
      <c r="F36" s="31">
        <f>'Volume projections'!F41</f>
        <v>4368782320</v>
      </c>
      <c r="G36" s="31">
        <f>'Volume projections'!G41</f>
        <v>4346938408.3999996</v>
      </c>
      <c r="H36" s="31">
        <f>'Volume projections'!H41</f>
        <v>4325203716.3579998</v>
      </c>
      <c r="I36" s="31">
        <f>'Volume projections'!I41</f>
        <v>4303577697.7762098</v>
      </c>
      <c r="J36" s="31">
        <f>'Volume projections'!J41</f>
        <v>4282059809.2873287</v>
      </c>
      <c r="K36" s="31">
        <f>'Volume projections'!K41</f>
        <v>4260649510.2408919</v>
      </c>
      <c r="L36" s="31">
        <f>'Volume projections'!L41</f>
        <v>4239346262.6896873</v>
      </c>
      <c r="M36" s="31">
        <f>'Volume projections'!M41</f>
        <v>4218149531.3762388</v>
      </c>
      <c r="N36" s="31">
        <f>'Volume projections'!N41</f>
        <v>4197058783.7193575</v>
      </c>
      <c r="O36" s="31">
        <f>'Volume projections'!O41</f>
        <v>4176073489.8007607</v>
      </c>
      <c r="P36" s="31">
        <f>'Volume projections'!P41</f>
        <v>4155193122.351757</v>
      </c>
      <c r="Q36" s="31">
        <f>'Volume projections'!Q41</f>
        <v>4134417156.7399983</v>
      </c>
      <c r="R36" s="31">
        <f>'Volume projections'!R41</f>
        <v>4113745070.9562984</v>
      </c>
      <c r="S36" s="31">
        <f>'Volume projections'!S41</f>
        <v>4093176345.6015167</v>
      </c>
      <c r="T36" s="31">
        <f>'Volume projections'!T41</f>
        <v>4072710463.8735089</v>
      </c>
      <c r="U36" s="31">
        <f>'Volume projections'!U41</f>
        <v>4052346911.5541415</v>
      </c>
    </row>
    <row r="37" spans="1:21" x14ac:dyDescent="0.25">
      <c r="A37" s="22" t="str">
        <f>'Volume projections'!A42</f>
        <v>Medium growth scenario</v>
      </c>
      <c r="B37" s="31">
        <f>'Volume projections'!B42</f>
        <v>2484972000</v>
      </c>
      <c r="C37" s="31">
        <f>'Volume projections'!C42</f>
        <v>3448648000</v>
      </c>
      <c r="D37" s="31">
        <f>'Volume projections'!D42</f>
        <v>4418355000</v>
      </c>
      <c r="E37" s="31">
        <f>'Volume projections'!E42</f>
        <v>4390736000</v>
      </c>
      <c r="F37" s="31">
        <f>'Volume projections'!F42</f>
        <v>4390736000</v>
      </c>
      <c r="G37" s="31">
        <f>'Volume projections'!G42</f>
        <v>4390736000</v>
      </c>
      <c r="H37" s="31">
        <f>'Volume projections'!H42</f>
        <v>4390736000</v>
      </c>
      <c r="I37" s="31">
        <f>'Volume projections'!I42</f>
        <v>4390736000</v>
      </c>
      <c r="J37" s="31">
        <f>'Volume projections'!J42</f>
        <v>4390736000</v>
      </c>
      <c r="K37" s="31">
        <f>'Volume projections'!K42</f>
        <v>4390736000</v>
      </c>
      <c r="L37" s="31">
        <f>'Volume projections'!L42</f>
        <v>4390736000</v>
      </c>
      <c r="M37" s="31">
        <f>'Volume projections'!M42</f>
        <v>4390736000</v>
      </c>
      <c r="N37" s="31">
        <f>'Volume projections'!N42</f>
        <v>4390736000</v>
      </c>
      <c r="O37" s="31">
        <f>'Volume projections'!O42</f>
        <v>4390736000</v>
      </c>
      <c r="P37" s="31">
        <f>'Volume projections'!P42</f>
        <v>4390736000</v>
      </c>
      <c r="Q37" s="31">
        <f>'Volume projections'!Q42</f>
        <v>4390736000</v>
      </c>
      <c r="R37" s="31">
        <f>'Volume projections'!R42</f>
        <v>4390736000</v>
      </c>
      <c r="S37" s="31">
        <f>'Volume projections'!S42</f>
        <v>4390736000</v>
      </c>
      <c r="T37" s="31">
        <f>'Volume projections'!T42</f>
        <v>4390736000</v>
      </c>
      <c r="U37" s="31">
        <f>'Volume projections'!U42</f>
        <v>4390736000</v>
      </c>
    </row>
    <row r="38" spans="1:21" x14ac:dyDescent="0.25">
      <c r="A38" s="22" t="str">
        <f>'Volume projections'!A43</f>
        <v>High growth scenario</v>
      </c>
      <c r="B38" s="31">
        <f>'Volume projections'!B43</f>
        <v>2484972000</v>
      </c>
      <c r="C38" s="31">
        <f>'Volume projections'!C43</f>
        <v>3448648000</v>
      </c>
      <c r="D38" s="31">
        <f>'Volume projections'!D43</f>
        <v>4418355000</v>
      </c>
      <c r="E38" s="31">
        <f>'Volume projections'!E43</f>
        <v>4390736000</v>
      </c>
      <c r="F38" s="31">
        <f>'Volume projections'!F43</f>
        <v>4412689680</v>
      </c>
      <c r="G38" s="31">
        <f>'Volume projections'!G43</f>
        <v>4434753128.3999996</v>
      </c>
      <c r="H38" s="31">
        <f>'Volume projections'!H43</f>
        <v>4456926894.0419989</v>
      </c>
      <c r="I38" s="31">
        <f>'Volume projections'!I43</f>
        <v>4479211528.512208</v>
      </c>
      <c r="J38" s="31">
        <f>'Volume projections'!J43</f>
        <v>4501607586.1547689</v>
      </c>
      <c r="K38" s="31">
        <f>'Volume projections'!K43</f>
        <v>4524115624.0855427</v>
      </c>
      <c r="L38" s="31">
        <f>'Volume projections'!L43</f>
        <v>4546736202.2059698</v>
      </c>
      <c r="M38" s="31">
        <f>'Volume projections'!M43</f>
        <v>4569469883.2169991</v>
      </c>
      <c r="N38" s="31">
        <f>'Volume projections'!N43</f>
        <v>4592317232.6330833</v>
      </c>
      <c r="O38" s="31">
        <f>'Volume projections'!O43</f>
        <v>4615278818.7962484</v>
      </c>
      <c r="P38" s="31">
        <f>'Volume projections'!P43</f>
        <v>4638355212.8902292</v>
      </c>
      <c r="Q38" s="31">
        <f>'Volume projections'!Q43</f>
        <v>4661546988.9546795</v>
      </c>
      <c r="R38" s="31">
        <f>'Volume projections'!R43</f>
        <v>4684854723.8994522</v>
      </c>
      <c r="S38" s="31">
        <f>'Volume projections'!S43</f>
        <v>4708278997.5189486</v>
      </c>
      <c r="T38" s="31">
        <f>'Volume projections'!T43</f>
        <v>4731820392.5065432</v>
      </c>
      <c r="U38" s="31">
        <f>'Volume projections'!U43</f>
        <v>4755479494.4690752</v>
      </c>
    </row>
    <row r="40" spans="1:21" x14ac:dyDescent="0.25">
      <c r="A40" s="26" t="str">
        <f>'Volume projections'!A45</f>
        <v xml:space="preserve">International incoming fixed telephone traffic </v>
      </c>
    </row>
    <row r="41" spans="1:21" x14ac:dyDescent="0.25">
      <c r="A41" s="22"/>
      <c r="B41" s="34">
        <f>'Volume projections'!B47</f>
        <v>2018</v>
      </c>
      <c r="C41" s="34">
        <f>'Volume projections'!C47</f>
        <v>2019</v>
      </c>
      <c r="D41" s="34">
        <f>'Volume projections'!D47</f>
        <v>2020</v>
      </c>
      <c r="E41" s="34">
        <f>'Volume projections'!E47</f>
        <v>2021</v>
      </c>
      <c r="F41" s="34">
        <f>'Volume projections'!F47</f>
        <v>2022</v>
      </c>
      <c r="G41" s="34">
        <f>'Volume projections'!G47</f>
        <v>2023</v>
      </c>
      <c r="H41" s="34">
        <f>'Volume projections'!H47</f>
        <v>2024</v>
      </c>
      <c r="I41" s="34">
        <f>'Volume projections'!I47</f>
        <v>2025</v>
      </c>
      <c r="J41" s="34">
        <f>'Volume projections'!J47</f>
        <v>2026</v>
      </c>
      <c r="K41" s="34">
        <f>'Volume projections'!K47</f>
        <v>2027</v>
      </c>
      <c r="L41" s="34">
        <f>'Volume projections'!L47</f>
        <v>2028</v>
      </c>
      <c r="M41" s="34">
        <f>'Volume projections'!M47</f>
        <v>2029</v>
      </c>
      <c r="N41" s="34">
        <f>'Volume projections'!N47</f>
        <v>2030</v>
      </c>
      <c r="O41" s="34">
        <f>'Volume projections'!O47</f>
        <v>2031</v>
      </c>
      <c r="P41" s="34">
        <f>'Volume projections'!P47</f>
        <v>2032</v>
      </c>
      <c r="Q41" s="34">
        <f>'Volume projections'!Q47</f>
        <v>2033</v>
      </c>
      <c r="R41" s="34">
        <f>'Volume projections'!R47</f>
        <v>2034</v>
      </c>
      <c r="S41" s="34">
        <f>'Volume projections'!S47</f>
        <v>2035</v>
      </c>
      <c r="T41" s="34">
        <f>'Volume projections'!T47</f>
        <v>2036</v>
      </c>
      <c r="U41" s="34">
        <f>'Volume projections'!U47</f>
        <v>2037</v>
      </c>
    </row>
    <row r="42" spans="1:21" x14ac:dyDescent="0.25">
      <c r="A42" s="22" t="str">
        <f>'Volume projections'!A48</f>
        <v>Low growth scenario</v>
      </c>
      <c r="B42" s="31">
        <f>'Volume projections'!B48</f>
        <v>378786450</v>
      </c>
      <c r="C42" s="31">
        <f>'Volume projections'!C48</f>
        <v>221337200</v>
      </c>
      <c r="D42" s="31">
        <f>'Volume projections'!D48</f>
        <v>154762500</v>
      </c>
      <c r="E42" s="31">
        <f>'Volume projections'!E48</f>
        <v>72205760</v>
      </c>
      <c r="F42" s="31">
        <f>'Volume projections'!F48</f>
        <v>71844731.200000003</v>
      </c>
      <c r="G42" s="31">
        <f>'Volume projections'!G48</f>
        <v>71485507.544</v>
      </c>
      <c r="H42" s="31">
        <f>'Volume projections'!H48</f>
        <v>71128080.006280005</v>
      </c>
      <c r="I42" s="31">
        <f>'Volume projections'!I48</f>
        <v>70772439.606248602</v>
      </c>
      <c r="J42" s="31">
        <f>'Volume projections'!J48</f>
        <v>70418577.408217356</v>
      </c>
      <c r="K42" s="31">
        <f>'Volume projections'!K48</f>
        <v>70066484.521176264</v>
      </c>
      <c r="L42" s="31">
        <f>'Volume projections'!L48</f>
        <v>69716152.098570377</v>
      </c>
      <c r="M42" s="31">
        <f>'Volume projections'!M48</f>
        <v>69367571.33807753</v>
      </c>
      <c r="N42" s="31">
        <f>'Volume projections'!N48</f>
        <v>69020733.481387138</v>
      </c>
      <c r="O42" s="31">
        <f>'Volume projections'!O48</f>
        <v>68675629.813980207</v>
      </c>
      <c r="P42" s="31">
        <f>'Volume projections'!P48</f>
        <v>68332251.664910302</v>
      </c>
      <c r="Q42" s="31">
        <f>'Volume projections'!Q48</f>
        <v>67990590.406585753</v>
      </c>
      <c r="R42" s="31">
        <f>'Volume projections'!R48</f>
        <v>67650637.454552829</v>
      </c>
      <c r="S42" s="31">
        <f>'Volume projections'!S48</f>
        <v>67312384.267280072</v>
      </c>
      <c r="T42" s="31">
        <f>'Volume projections'!T48</f>
        <v>66975822.345943674</v>
      </c>
      <c r="U42" s="31">
        <f>'Volume projections'!U48</f>
        <v>66640943.234213956</v>
      </c>
    </row>
    <row r="43" spans="1:21" x14ac:dyDescent="0.25">
      <c r="A43" s="22" t="str">
        <f>'Volume projections'!A49</f>
        <v>Medium growth scenario</v>
      </c>
      <c r="B43" s="31">
        <f>'Volume projections'!B49</f>
        <v>378786450</v>
      </c>
      <c r="C43" s="31">
        <f>'Volume projections'!C49</f>
        <v>221337200</v>
      </c>
      <c r="D43" s="31">
        <f>'Volume projections'!D49</f>
        <v>154762500</v>
      </c>
      <c r="E43" s="31">
        <f>'Volume projections'!E49</f>
        <v>72205760</v>
      </c>
      <c r="F43" s="31">
        <f>'Volume projections'!F49</f>
        <v>72205760</v>
      </c>
      <c r="G43" s="31">
        <f>'Volume projections'!G49</f>
        <v>72205760</v>
      </c>
      <c r="H43" s="31">
        <f>'Volume projections'!H49</f>
        <v>72205760</v>
      </c>
      <c r="I43" s="31">
        <f>'Volume projections'!I49</f>
        <v>72205760</v>
      </c>
      <c r="J43" s="31">
        <f>'Volume projections'!J49</f>
        <v>72205760</v>
      </c>
      <c r="K43" s="31">
        <f>'Volume projections'!K49</f>
        <v>72205760</v>
      </c>
      <c r="L43" s="31">
        <f>'Volume projections'!L49</f>
        <v>72205760</v>
      </c>
      <c r="M43" s="31">
        <f>'Volume projections'!M49</f>
        <v>72205760</v>
      </c>
      <c r="N43" s="31">
        <f>'Volume projections'!N49</f>
        <v>72205760</v>
      </c>
      <c r="O43" s="31">
        <f>'Volume projections'!O49</f>
        <v>72205760</v>
      </c>
      <c r="P43" s="31">
        <f>'Volume projections'!P49</f>
        <v>72205760</v>
      </c>
      <c r="Q43" s="31">
        <f>'Volume projections'!Q49</f>
        <v>72205760</v>
      </c>
      <c r="R43" s="31">
        <f>'Volume projections'!R49</f>
        <v>72205760</v>
      </c>
      <c r="S43" s="31">
        <f>'Volume projections'!S49</f>
        <v>72205760</v>
      </c>
      <c r="T43" s="31">
        <f>'Volume projections'!T49</f>
        <v>72205760</v>
      </c>
      <c r="U43" s="31">
        <f>'Volume projections'!U49</f>
        <v>72205760</v>
      </c>
    </row>
    <row r="44" spans="1:21" x14ac:dyDescent="0.25">
      <c r="A44" s="22" t="str">
        <f>'Volume projections'!A50</f>
        <v>High growth scenario</v>
      </c>
      <c r="B44" s="31">
        <f>'Volume projections'!B50</f>
        <v>378786450</v>
      </c>
      <c r="C44" s="31">
        <f>'Volume projections'!C50</f>
        <v>221337200</v>
      </c>
      <c r="D44" s="31">
        <f>'Volume projections'!D50</f>
        <v>154762500</v>
      </c>
      <c r="E44" s="31">
        <f>'Volume projections'!E50</f>
        <v>72205760</v>
      </c>
      <c r="F44" s="31">
        <f>'Volume projections'!F50</f>
        <v>72566788.799999997</v>
      </c>
      <c r="G44" s="31">
        <f>'Volume projections'!G50</f>
        <v>72929622.743999988</v>
      </c>
      <c r="H44" s="31">
        <f>'Volume projections'!H50</f>
        <v>73294270.857719973</v>
      </c>
      <c r="I44" s="31">
        <f>'Volume projections'!I50</f>
        <v>73660742.212008566</v>
      </c>
      <c r="J44" s="31">
        <f>'Volume projections'!J50</f>
        <v>74029045.923068598</v>
      </c>
      <c r="K44" s="31">
        <f>'Volume projections'!K50</f>
        <v>74399191.152683929</v>
      </c>
      <c r="L44" s="31">
        <f>'Volume projections'!L50</f>
        <v>74771187.108447343</v>
      </c>
      <c r="M44" s="31">
        <f>'Volume projections'!M50</f>
        <v>75145043.043989569</v>
      </c>
      <c r="N44" s="31">
        <f>'Volume projections'!N50</f>
        <v>75520768.259209514</v>
      </c>
      <c r="O44" s="31">
        <f>'Volume projections'!O50</f>
        <v>75898372.100505561</v>
      </c>
      <c r="P44" s="31">
        <f>'Volume projections'!P50</f>
        <v>76277863.961008087</v>
      </c>
      <c r="Q44" s="31">
        <f>'Volume projections'!Q50</f>
        <v>76659253.280813113</v>
      </c>
      <c r="R44" s="31">
        <f>'Volume projections'!R50</f>
        <v>77042549.547217175</v>
      </c>
      <c r="S44" s="31">
        <f>'Volume projections'!S50</f>
        <v>77427762.294953257</v>
      </c>
      <c r="T44" s="31">
        <f>'Volume projections'!T50</f>
        <v>77814901.106428012</v>
      </c>
      <c r="U44" s="31">
        <f>'Volume projections'!U50</f>
        <v>78203975.611960143</v>
      </c>
    </row>
    <row r="46" spans="1:21" x14ac:dyDescent="0.25">
      <c r="A46" s="26" t="str">
        <f>'Volume projections'!A52</f>
        <v>International outgoing fixed telephone traffic</v>
      </c>
    </row>
    <row r="47" spans="1:21" x14ac:dyDescent="0.25">
      <c r="A47" s="22"/>
      <c r="B47" s="34">
        <f>'Volume projections'!B54</f>
        <v>2018</v>
      </c>
      <c r="C47" s="34">
        <f>'Volume projections'!C54</f>
        <v>2019</v>
      </c>
      <c r="D47" s="34">
        <f>'Volume projections'!D54</f>
        <v>2020</v>
      </c>
      <c r="E47" s="34">
        <f>'Volume projections'!E54</f>
        <v>2021</v>
      </c>
      <c r="F47" s="34">
        <f>'Volume projections'!F54</f>
        <v>2022</v>
      </c>
      <c r="G47" s="34">
        <f>'Volume projections'!G54</f>
        <v>2023</v>
      </c>
      <c r="H47" s="34">
        <f>'Volume projections'!H54</f>
        <v>2024</v>
      </c>
      <c r="I47" s="34">
        <f>'Volume projections'!I54</f>
        <v>2025</v>
      </c>
      <c r="J47" s="34">
        <f>'Volume projections'!J54</f>
        <v>2026</v>
      </c>
      <c r="K47" s="34">
        <f>'Volume projections'!K54</f>
        <v>2027</v>
      </c>
      <c r="L47" s="34">
        <f>'Volume projections'!L54</f>
        <v>2028</v>
      </c>
      <c r="M47" s="34">
        <f>'Volume projections'!M54</f>
        <v>2029</v>
      </c>
      <c r="N47" s="34">
        <f>'Volume projections'!N54</f>
        <v>2030</v>
      </c>
      <c r="O47" s="34">
        <f>'Volume projections'!O54</f>
        <v>2031</v>
      </c>
      <c r="P47" s="34">
        <f>'Volume projections'!P54</f>
        <v>2032</v>
      </c>
      <c r="Q47" s="34">
        <f>'Volume projections'!Q54</f>
        <v>2033</v>
      </c>
      <c r="R47" s="34">
        <f>'Volume projections'!R54</f>
        <v>2034</v>
      </c>
      <c r="S47" s="34">
        <f>'Volume projections'!S54</f>
        <v>2035</v>
      </c>
      <c r="T47" s="34">
        <f>'Volume projections'!T54</f>
        <v>2036</v>
      </c>
      <c r="U47" s="34">
        <f>'Volume projections'!U54</f>
        <v>2037</v>
      </c>
    </row>
    <row r="48" spans="1:21" x14ac:dyDescent="0.25">
      <c r="A48" s="22" t="str">
        <f>'Volume projections'!A55</f>
        <v>Low growth scenario</v>
      </c>
      <c r="B48" s="31">
        <f>'Volume projections'!B55</f>
        <v>374236800</v>
      </c>
      <c r="C48" s="31">
        <f>'Volume projections'!C55</f>
        <v>111742120</v>
      </c>
      <c r="D48" s="31">
        <f>'Volume projections'!D55</f>
        <v>122423250</v>
      </c>
      <c r="E48" s="31">
        <f>'Volume projections'!E55</f>
        <v>103893760</v>
      </c>
      <c r="F48" s="31">
        <f>'Volume projections'!F55</f>
        <v>103374291.2</v>
      </c>
      <c r="G48" s="31">
        <f>'Volume projections'!G55</f>
        <v>102857419.744</v>
      </c>
      <c r="H48" s="31">
        <f>'Volume projections'!H55</f>
        <v>102343132.64528</v>
      </c>
      <c r="I48" s="31">
        <f>'Volume projections'!I55</f>
        <v>101831416.98205361</v>
      </c>
      <c r="J48" s="31">
        <f>'Volume projections'!J55</f>
        <v>101322259.89714333</v>
      </c>
      <c r="K48" s="31">
        <f>'Volume projections'!K55</f>
        <v>100815648.59765762</v>
      </c>
      <c r="L48" s="31">
        <f>'Volume projections'!L55</f>
        <v>100311570.35466933</v>
      </c>
      <c r="M48" s="31">
        <f>'Volume projections'!M55</f>
        <v>99810012.502895981</v>
      </c>
      <c r="N48" s="31">
        <f>'Volume projections'!N55</f>
        <v>99310962.440381497</v>
      </c>
      <c r="O48" s="31">
        <f>'Volume projections'!O55</f>
        <v>98814407.628179595</v>
      </c>
      <c r="P48" s="31">
        <f>'Volume projections'!P55</f>
        <v>98320335.590038702</v>
      </c>
      <c r="Q48" s="31">
        <f>'Volume projections'!Q55</f>
        <v>97828733.912088513</v>
      </c>
      <c r="R48" s="31">
        <f>'Volume projections'!R55</f>
        <v>97339590.242528066</v>
      </c>
      <c r="S48" s="31">
        <f>'Volume projections'!S55</f>
        <v>96852892.291315421</v>
      </c>
      <c r="T48" s="31">
        <f>'Volume projections'!T55</f>
        <v>96368627.82985884</v>
      </c>
      <c r="U48" s="31">
        <f>'Volume projections'!U55</f>
        <v>95886784.690709546</v>
      </c>
    </row>
    <row r="49" spans="1:21" x14ac:dyDescent="0.25">
      <c r="A49" s="22" t="str">
        <f>'Volume projections'!A56</f>
        <v>Medium growth scenario</v>
      </c>
      <c r="B49" s="31">
        <f>'Volume projections'!B56</f>
        <v>374236800</v>
      </c>
      <c r="C49" s="31">
        <f>'Volume projections'!C56</f>
        <v>111742120</v>
      </c>
      <c r="D49" s="31">
        <f>'Volume projections'!D56</f>
        <v>122423250</v>
      </c>
      <c r="E49" s="31">
        <f>'Volume projections'!E56</f>
        <v>103893760</v>
      </c>
      <c r="F49" s="31">
        <f>'Volume projections'!F56</f>
        <v>103893760</v>
      </c>
      <c r="G49" s="31">
        <f>'Volume projections'!G56</f>
        <v>103893760</v>
      </c>
      <c r="H49" s="31">
        <f>'Volume projections'!H56</f>
        <v>103893760</v>
      </c>
      <c r="I49" s="31">
        <f>'Volume projections'!I56</f>
        <v>103893760</v>
      </c>
      <c r="J49" s="31">
        <f>'Volume projections'!J56</f>
        <v>103893760</v>
      </c>
      <c r="K49" s="31">
        <f>'Volume projections'!K56</f>
        <v>103893760</v>
      </c>
      <c r="L49" s="31">
        <f>'Volume projections'!L56</f>
        <v>103893760</v>
      </c>
      <c r="M49" s="31">
        <f>'Volume projections'!M56</f>
        <v>103893760</v>
      </c>
      <c r="N49" s="31">
        <f>'Volume projections'!N56</f>
        <v>103893760</v>
      </c>
      <c r="O49" s="31">
        <f>'Volume projections'!O56</f>
        <v>103893760</v>
      </c>
      <c r="P49" s="31">
        <f>'Volume projections'!P56</f>
        <v>103893760</v>
      </c>
      <c r="Q49" s="31">
        <f>'Volume projections'!Q56</f>
        <v>103893760</v>
      </c>
      <c r="R49" s="31">
        <f>'Volume projections'!R56</f>
        <v>103893760</v>
      </c>
      <c r="S49" s="31">
        <f>'Volume projections'!S56</f>
        <v>103893760</v>
      </c>
      <c r="T49" s="31">
        <f>'Volume projections'!T56</f>
        <v>103893760</v>
      </c>
      <c r="U49" s="31">
        <f>'Volume projections'!U56</f>
        <v>103893760</v>
      </c>
    </row>
    <row r="50" spans="1:21" x14ac:dyDescent="0.25">
      <c r="A50" s="22" t="str">
        <f>'Volume projections'!A57</f>
        <v>High growth scenario</v>
      </c>
      <c r="B50" s="31">
        <f>'Volume projections'!B57</f>
        <v>374236800</v>
      </c>
      <c r="C50" s="31">
        <f>'Volume projections'!C57</f>
        <v>111742120</v>
      </c>
      <c r="D50" s="31">
        <f>'Volume projections'!D57</f>
        <v>122423250</v>
      </c>
      <c r="E50" s="31">
        <f>'Volume projections'!E57</f>
        <v>103893760</v>
      </c>
      <c r="F50" s="31">
        <f>'Volume projections'!F57</f>
        <v>104413228.79999998</v>
      </c>
      <c r="G50" s="31">
        <f>'Volume projections'!G57</f>
        <v>104935294.94399998</v>
      </c>
      <c r="H50" s="31">
        <f>'Volume projections'!H57</f>
        <v>105459971.41871996</v>
      </c>
      <c r="I50" s="31">
        <f>'Volume projections'!I57</f>
        <v>105987271.27581355</v>
      </c>
      <c r="J50" s="31">
        <f>'Volume projections'!J57</f>
        <v>106517207.63219261</v>
      </c>
      <c r="K50" s="31">
        <f>'Volume projections'!K57</f>
        <v>107049793.67035356</v>
      </c>
      <c r="L50" s="31">
        <f>'Volume projections'!L57</f>
        <v>107585042.63870531</v>
      </c>
      <c r="M50" s="31">
        <f>'Volume projections'!M57</f>
        <v>108122967.85189883</v>
      </c>
      <c r="N50" s="31">
        <f>'Volume projections'!N57</f>
        <v>108663582.69115831</v>
      </c>
      <c r="O50" s="31">
        <f>'Volume projections'!O57</f>
        <v>109206900.60461409</v>
      </c>
      <c r="P50" s="31">
        <f>'Volume projections'!P57</f>
        <v>109752935.10763715</v>
      </c>
      <c r="Q50" s="31">
        <f>'Volume projections'!Q57</f>
        <v>110301699.78317532</v>
      </c>
      <c r="R50" s="31">
        <f>'Volume projections'!R57</f>
        <v>110853208.28209119</v>
      </c>
      <c r="S50" s="31">
        <f>'Volume projections'!S57</f>
        <v>111407474.32350163</v>
      </c>
      <c r="T50" s="31">
        <f>'Volume projections'!T57</f>
        <v>111964511.69511913</v>
      </c>
      <c r="U50" s="31">
        <f>'Volume projections'!U57</f>
        <v>112524334.25359471</v>
      </c>
    </row>
    <row r="57" spans="1:21" x14ac:dyDescent="0.25">
      <c r="B57" s="17">
        <f>2.8/3.6</f>
        <v>0.77777777777777768</v>
      </c>
    </row>
  </sheetData>
  <phoneticPr fontId="1" type="noConversion"/>
  <conditionalFormatting sqref="B1:U6 I11:U11 B12:U13 B18:U20 B25:U27 B32:U34 B39:U40 B45:U46 B51:U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A58C0-C69C-4EE0-8FDF-4B844EDCE6AD}">
  <dimension ref="A1:AT170"/>
  <sheetViews>
    <sheetView zoomScale="80" zoomScaleNormal="80" workbookViewId="0">
      <pane xSplit="1" topLeftCell="B1" activePane="topRight" state="frozen"/>
      <selection activeCell="H13" sqref="H13"/>
      <selection pane="topRight" sqref="A1:XFD1"/>
    </sheetView>
  </sheetViews>
  <sheetFormatPr defaultColWidth="8.5703125" defaultRowHeight="15" x14ac:dyDescent="0.25"/>
  <cols>
    <col min="1" max="1" width="53.42578125" style="17" customWidth="1"/>
    <col min="2" max="2" width="25.42578125" style="17" customWidth="1"/>
    <col min="3" max="3" width="52.5703125" style="17" customWidth="1"/>
    <col min="4" max="23" width="19" style="17" customWidth="1"/>
    <col min="24" max="24" width="27.42578125" style="17" bestFit="1" customWidth="1"/>
    <col min="25" max="25" width="26.42578125" style="17" bestFit="1" customWidth="1"/>
    <col min="26" max="45" width="18.28515625" style="17" customWidth="1"/>
    <col min="46" max="46" width="16.5703125" style="17" customWidth="1"/>
    <col min="47" max="16384" width="8.5703125" style="17"/>
  </cols>
  <sheetData>
    <row r="1" spans="1:10" s="23" customFormat="1" ht="18.75" x14ac:dyDescent="0.3">
      <c r="A1" s="98" t="s">
        <v>20</v>
      </c>
      <c r="B1" s="102"/>
      <c r="C1" s="102"/>
      <c r="D1" s="101"/>
      <c r="E1" s="101"/>
      <c r="F1" s="101"/>
      <c r="G1" s="101"/>
      <c r="H1" s="101"/>
      <c r="I1" s="101"/>
      <c r="J1" s="101"/>
    </row>
    <row r="3" spans="1:10" x14ac:dyDescent="0.25">
      <c r="A3" s="17" t="s">
        <v>21</v>
      </c>
    </row>
    <row r="5" spans="1:10" x14ac:dyDescent="0.25">
      <c r="A5" s="93" t="s">
        <v>22</v>
      </c>
      <c r="B5" s="93" t="s">
        <v>23</v>
      </c>
      <c r="C5" s="93" t="s">
        <v>24</v>
      </c>
      <c r="D5" s="93" t="s">
        <v>25</v>
      </c>
      <c r="E5" s="93" t="s">
        <v>26</v>
      </c>
      <c r="F5" s="93"/>
    </row>
    <row r="6" spans="1:10" x14ac:dyDescent="0.25">
      <c r="A6" s="93"/>
      <c r="B6" s="93"/>
      <c r="C6" s="93"/>
      <c r="D6" s="93"/>
    </row>
    <row r="7" spans="1:10" x14ac:dyDescent="0.25">
      <c r="A7" s="93"/>
      <c r="B7" s="93"/>
      <c r="C7" s="93"/>
      <c r="D7" s="93"/>
    </row>
    <row r="8" spans="1:10" x14ac:dyDescent="0.25">
      <c r="A8" s="54" t="s">
        <v>27</v>
      </c>
      <c r="B8" s="55"/>
      <c r="C8" s="55"/>
      <c r="D8" s="55"/>
      <c r="E8" s="55"/>
      <c r="F8" s="95" t="s">
        <v>28</v>
      </c>
    </row>
    <row r="10" spans="1:10" x14ac:dyDescent="0.25">
      <c r="A10" s="139" t="s">
        <v>29</v>
      </c>
      <c r="B10" s="139" t="s">
        <v>30</v>
      </c>
      <c r="C10" s="139"/>
      <c r="D10" s="147">
        <v>60</v>
      </c>
      <c r="E10" s="20" t="s">
        <v>31</v>
      </c>
      <c r="F10" s="93" t="s">
        <v>32</v>
      </c>
    </row>
    <row r="11" spans="1:10" ht="30" x14ac:dyDescent="0.25">
      <c r="A11" s="139" t="s">
        <v>33</v>
      </c>
      <c r="B11" s="139" t="s">
        <v>34</v>
      </c>
      <c r="C11" s="139" t="s">
        <v>35</v>
      </c>
      <c r="D11" s="147">
        <v>60</v>
      </c>
      <c r="E11" s="20" t="s">
        <v>36</v>
      </c>
      <c r="F11" s="93" t="s">
        <v>32</v>
      </c>
    </row>
    <row r="12" spans="1:10" x14ac:dyDescent="0.25">
      <c r="A12" s="139" t="s">
        <v>37</v>
      </c>
      <c r="B12" s="139" t="s">
        <v>38</v>
      </c>
      <c r="C12" s="139"/>
      <c r="D12" s="147">
        <v>365</v>
      </c>
      <c r="E12" s="20"/>
      <c r="F12" s="93" t="s">
        <v>32</v>
      </c>
    </row>
    <row r="13" spans="1:10" x14ac:dyDescent="0.25">
      <c r="A13" s="139" t="s">
        <v>39</v>
      </c>
      <c r="B13" s="139" t="s">
        <v>40</v>
      </c>
      <c r="C13" s="139"/>
      <c r="D13" s="147">
        <v>52</v>
      </c>
      <c r="E13" s="20"/>
      <c r="F13" s="93"/>
    </row>
    <row r="14" spans="1:10" x14ac:dyDescent="0.25">
      <c r="A14" s="139" t="s">
        <v>41</v>
      </c>
      <c r="B14" s="139" t="s">
        <v>42</v>
      </c>
      <c r="C14" s="139"/>
      <c r="D14" s="147">
        <v>5</v>
      </c>
      <c r="E14" s="20"/>
      <c r="F14" s="93" t="s">
        <v>32</v>
      </c>
    </row>
    <row r="15" spans="1:10" x14ac:dyDescent="0.25">
      <c r="A15" s="139" t="s">
        <v>43</v>
      </c>
      <c r="B15" s="139" t="s">
        <v>42</v>
      </c>
      <c r="C15" s="139"/>
      <c r="D15" s="147">
        <v>7</v>
      </c>
      <c r="E15" s="20"/>
      <c r="F15" s="93" t="s">
        <v>32</v>
      </c>
    </row>
    <row r="16" spans="1:10" x14ac:dyDescent="0.25">
      <c r="A16" s="139"/>
      <c r="B16" s="139"/>
      <c r="C16" s="139"/>
      <c r="D16" s="146"/>
      <c r="E16" s="20"/>
    </row>
    <row r="17" spans="1:6" x14ac:dyDescent="0.25">
      <c r="A17" s="139" t="s">
        <v>44</v>
      </c>
      <c r="B17" s="139" t="s">
        <v>45</v>
      </c>
      <c r="C17" s="139"/>
      <c r="D17" s="147">
        <v>2</v>
      </c>
      <c r="E17" s="144" t="s">
        <v>46</v>
      </c>
      <c r="F17" s="93" t="s">
        <v>32</v>
      </c>
    </row>
    <row r="18" spans="1:6" x14ac:dyDescent="0.25">
      <c r="A18" s="139"/>
      <c r="B18" s="139"/>
      <c r="C18" s="139"/>
      <c r="D18" s="146"/>
      <c r="E18" s="144"/>
      <c r="F18" s="93"/>
    </row>
    <row r="19" spans="1:6" x14ac:dyDescent="0.25">
      <c r="A19" s="139"/>
      <c r="B19" s="139"/>
      <c r="C19" s="139"/>
      <c r="D19" s="146"/>
      <c r="E19" s="144"/>
      <c r="F19" s="93"/>
    </row>
    <row r="20" spans="1:6" x14ac:dyDescent="0.25">
      <c r="A20" s="159" t="s">
        <v>47</v>
      </c>
      <c r="B20" s="160"/>
      <c r="C20" s="160"/>
      <c r="D20" s="161"/>
      <c r="E20" s="175"/>
      <c r="F20" s="94"/>
    </row>
    <row r="21" spans="1:6" x14ac:dyDescent="0.25">
      <c r="A21" s="139"/>
      <c r="B21" s="139"/>
      <c r="C21" s="139"/>
      <c r="D21" s="146"/>
      <c r="E21" s="144"/>
      <c r="F21" s="26" t="s">
        <v>48</v>
      </c>
    </row>
    <row r="22" spans="1:6" x14ac:dyDescent="0.25">
      <c r="A22" s="139" t="s">
        <v>49</v>
      </c>
      <c r="B22" s="139" t="s">
        <v>50</v>
      </c>
      <c r="C22" s="139"/>
      <c r="D22" s="179">
        <v>0.05</v>
      </c>
      <c r="E22" s="144" t="s">
        <v>51</v>
      </c>
      <c r="F22" s="93"/>
    </row>
    <row r="23" spans="1:6" x14ac:dyDescent="0.25">
      <c r="A23" s="139" t="s">
        <v>52</v>
      </c>
      <c r="B23" s="139"/>
      <c r="C23" s="139"/>
      <c r="D23" s="176">
        <v>4</v>
      </c>
      <c r="E23" s="20" t="s">
        <v>53</v>
      </c>
      <c r="F23" s="93" t="s">
        <v>54</v>
      </c>
    </row>
    <row r="24" spans="1:6" x14ac:dyDescent="0.25">
      <c r="A24" s="139" t="s">
        <v>55</v>
      </c>
      <c r="B24" s="139"/>
      <c r="C24" s="139"/>
      <c r="D24" s="204">
        <v>0.08</v>
      </c>
      <c r="E24" s="144" t="s">
        <v>56</v>
      </c>
      <c r="F24" s="93" t="s">
        <v>57</v>
      </c>
    </row>
    <row r="25" spans="1:6" x14ac:dyDescent="0.25">
      <c r="A25" s="205" t="s">
        <v>58</v>
      </c>
      <c r="B25" s="139"/>
      <c r="C25" s="139"/>
      <c r="D25" s="146"/>
      <c r="E25" s="144"/>
      <c r="F25" s="93"/>
    </row>
    <row r="26" spans="1:6" x14ac:dyDescent="0.25">
      <c r="A26" s="139"/>
      <c r="B26" s="139"/>
      <c r="C26" s="139"/>
      <c r="D26" s="146"/>
      <c r="E26" s="144"/>
      <c r="F26" s="93"/>
    </row>
    <row r="27" spans="1:6" x14ac:dyDescent="0.25">
      <c r="A27" s="159" t="s">
        <v>59</v>
      </c>
      <c r="B27" s="159"/>
      <c r="C27" s="159"/>
      <c r="D27" s="177"/>
      <c r="E27" s="178"/>
      <c r="F27" s="95"/>
    </row>
    <row r="28" spans="1:6" x14ac:dyDescent="0.25">
      <c r="A28" s="139"/>
      <c r="B28" s="139"/>
      <c r="C28" s="139"/>
      <c r="D28" s="146"/>
      <c r="E28" s="144"/>
    </row>
    <row r="29" spans="1:6" x14ac:dyDescent="0.25">
      <c r="A29" s="139" t="s">
        <v>60</v>
      </c>
      <c r="B29" s="139"/>
      <c r="C29" s="139"/>
      <c r="D29" s="179">
        <v>0.8</v>
      </c>
      <c r="E29" s="144"/>
    </row>
    <row r="30" spans="1:6" x14ac:dyDescent="0.25">
      <c r="A30" s="139" t="s">
        <v>61</v>
      </c>
      <c r="B30" s="139"/>
      <c r="C30" s="139"/>
      <c r="D30" s="182">
        <f>D13*D14</f>
        <v>260</v>
      </c>
      <c r="E30" s="144"/>
    </row>
    <row r="31" spans="1:6" x14ac:dyDescent="0.25">
      <c r="A31" s="139"/>
      <c r="B31" s="139"/>
      <c r="C31" s="139"/>
      <c r="D31" s="146"/>
      <c r="E31" s="144"/>
    </row>
    <row r="32" spans="1:6" x14ac:dyDescent="0.25">
      <c r="A32" s="139" t="s">
        <v>62</v>
      </c>
      <c r="B32" s="139"/>
      <c r="C32" s="139"/>
      <c r="D32" s="179">
        <v>0.1</v>
      </c>
      <c r="E32" s="144"/>
    </row>
    <row r="33" spans="1:6" x14ac:dyDescent="0.25">
      <c r="A33" s="139"/>
      <c r="B33" s="139"/>
      <c r="C33" s="139"/>
      <c r="D33" s="180"/>
      <c r="E33" s="144"/>
    </row>
    <row r="34" spans="1:6" x14ac:dyDescent="0.25">
      <c r="A34" s="139" t="s">
        <v>63</v>
      </c>
      <c r="B34" s="139"/>
      <c r="C34" s="139"/>
      <c r="D34" s="181">
        <f>D29*D32/D30</f>
        <v>3.0769230769230776E-4</v>
      </c>
      <c r="E34" s="20" t="s">
        <v>64</v>
      </c>
      <c r="F34" s="209" t="s">
        <v>65</v>
      </c>
    </row>
    <row r="35" spans="1:6" x14ac:dyDescent="0.25">
      <c r="A35" s="139"/>
      <c r="B35" s="139"/>
      <c r="C35" s="139"/>
      <c r="D35" s="146"/>
      <c r="E35" s="144"/>
    </row>
    <row r="36" spans="1:6" x14ac:dyDescent="0.25">
      <c r="A36" s="93"/>
      <c r="B36" s="139"/>
      <c r="C36" s="139"/>
      <c r="D36" s="146"/>
    </row>
    <row r="37" spans="1:6" x14ac:dyDescent="0.25">
      <c r="A37" s="139"/>
      <c r="B37" s="139"/>
      <c r="C37" s="139"/>
      <c r="D37" s="146"/>
    </row>
    <row r="38" spans="1:6" x14ac:dyDescent="0.25">
      <c r="A38" s="159" t="s">
        <v>66</v>
      </c>
      <c r="B38" s="159"/>
      <c r="C38" s="159"/>
      <c r="D38" s="177"/>
      <c r="E38" s="54"/>
      <c r="F38" s="54"/>
    </row>
    <row r="39" spans="1:6" x14ac:dyDescent="0.25">
      <c r="A39" s="139"/>
      <c r="B39" s="195" t="s">
        <v>67</v>
      </c>
      <c r="C39" s="139"/>
      <c r="D39" s="196" t="s">
        <v>23</v>
      </c>
      <c r="F39" s="26" t="s">
        <v>48</v>
      </c>
    </row>
    <row r="40" spans="1:6" x14ac:dyDescent="0.25">
      <c r="A40" s="139" t="str" cm="1">
        <f t="array" ref="A40:A55">core_elements</f>
        <v>Application server hardware</v>
      </c>
      <c r="B40" s="139" t="s">
        <v>68</v>
      </c>
      <c r="C40" s="139"/>
      <c r="D40" s="182">
        <v>87200</v>
      </c>
      <c r="E40" s="20" t="s">
        <v>69</v>
      </c>
      <c r="F40" s="93" t="s">
        <v>57</v>
      </c>
    </row>
    <row r="41" spans="1:6" x14ac:dyDescent="0.25">
      <c r="A41" s="139" t="str">
        <v>Application server software</v>
      </c>
      <c r="B41" s="139" t="s">
        <v>68</v>
      </c>
      <c r="C41" s="139"/>
      <c r="D41" s="182">
        <v>85000</v>
      </c>
      <c r="E41" s="20" t="s">
        <v>70</v>
      </c>
      <c r="F41" s="93" t="s">
        <v>57</v>
      </c>
    </row>
    <row r="42" spans="1:6" x14ac:dyDescent="0.25">
      <c r="A42" s="139" t="str">
        <v>Charging data function hardware</v>
      </c>
      <c r="B42" s="183" t="s">
        <v>71</v>
      </c>
      <c r="C42" s="139"/>
      <c r="D42" s="182">
        <v>2860000</v>
      </c>
      <c r="E42" s="20" t="s">
        <v>72</v>
      </c>
      <c r="F42" s="93" t="s">
        <v>57</v>
      </c>
    </row>
    <row r="43" spans="1:6" x14ac:dyDescent="0.25">
      <c r="A43" s="139" t="str">
        <v>Charging data function software</v>
      </c>
      <c r="B43" s="183" t="s">
        <v>71</v>
      </c>
      <c r="C43" s="139"/>
      <c r="D43" s="182">
        <v>8400000</v>
      </c>
      <c r="E43" s="20" t="s">
        <v>73</v>
      </c>
      <c r="F43" s="93" t="s">
        <v>57</v>
      </c>
    </row>
    <row r="44" spans="1:6" x14ac:dyDescent="0.25">
      <c r="A44" s="139" t="str">
        <v>Proxy - Call session control function hardware</v>
      </c>
      <c r="B44" s="139" t="s">
        <v>74</v>
      </c>
      <c r="C44" s="139"/>
      <c r="D44" s="182">
        <v>1100000</v>
      </c>
      <c r="E44" s="20" t="s">
        <v>75</v>
      </c>
      <c r="F44" s="93" t="s">
        <v>57</v>
      </c>
    </row>
    <row r="45" spans="1:6" x14ac:dyDescent="0.25">
      <c r="A45" s="139" t="str">
        <v>Proxy - Call session control function software</v>
      </c>
      <c r="B45" s="139" t="s">
        <v>74</v>
      </c>
      <c r="C45" s="139"/>
      <c r="D45" s="182">
        <v>1150000</v>
      </c>
      <c r="E45" s="20" t="s">
        <v>76</v>
      </c>
      <c r="F45" s="93" t="s">
        <v>57</v>
      </c>
    </row>
    <row r="46" spans="1:6" x14ac:dyDescent="0.25">
      <c r="A46" s="139" t="str">
        <v>Interrogating - Call session control function hardware</v>
      </c>
      <c r="B46" s="139" t="s">
        <v>74</v>
      </c>
      <c r="C46" s="139"/>
      <c r="D46" s="199">
        <f>D44</f>
        <v>1100000</v>
      </c>
      <c r="E46" s="20" t="s">
        <v>77</v>
      </c>
      <c r="F46" s="93" t="s">
        <v>57</v>
      </c>
    </row>
    <row r="47" spans="1:6" x14ac:dyDescent="0.25">
      <c r="A47" s="139" t="str">
        <v>Interrogating - Call session control function software</v>
      </c>
      <c r="B47" s="139" t="s">
        <v>74</v>
      </c>
      <c r="C47" s="139"/>
      <c r="D47" s="199">
        <f>D45</f>
        <v>1150000</v>
      </c>
      <c r="E47" s="20" t="s">
        <v>78</v>
      </c>
      <c r="F47" s="93" t="s">
        <v>57</v>
      </c>
    </row>
    <row r="48" spans="1:6" x14ac:dyDescent="0.25">
      <c r="A48" s="139" t="str">
        <v>Serving - Call session control function hardware</v>
      </c>
      <c r="B48" s="139" t="s">
        <v>74</v>
      </c>
      <c r="C48" s="139"/>
      <c r="D48" s="199">
        <v>1250000</v>
      </c>
      <c r="E48" s="20" t="s">
        <v>79</v>
      </c>
      <c r="F48" s="93" t="s">
        <v>57</v>
      </c>
    </row>
    <row r="49" spans="1:45" x14ac:dyDescent="0.25">
      <c r="A49" s="139" t="str">
        <v>Serving - Call session control function software</v>
      </c>
      <c r="B49" s="139" t="s">
        <v>74</v>
      </c>
      <c r="C49" s="139"/>
      <c r="D49" s="199">
        <v>1100000</v>
      </c>
      <c r="E49" s="20" t="s">
        <v>80</v>
      </c>
      <c r="F49" s="93" t="s">
        <v>57</v>
      </c>
    </row>
    <row r="50" spans="1:45" x14ac:dyDescent="0.25">
      <c r="A50" s="139" t="str">
        <v>Media resource function - hardware</v>
      </c>
      <c r="B50" s="183" t="s">
        <v>81</v>
      </c>
      <c r="C50" s="139"/>
      <c r="D50" s="199">
        <v>8000</v>
      </c>
      <c r="E50" s="20" t="s">
        <v>82</v>
      </c>
      <c r="F50" s="93" t="s">
        <v>57</v>
      </c>
    </row>
    <row r="51" spans="1:45" x14ac:dyDescent="0.25">
      <c r="A51" s="139" t="str">
        <v>Media resource function - software</v>
      </c>
      <c r="B51" s="183" t="s">
        <v>81</v>
      </c>
      <c r="C51" s="139"/>
      <c r="D51" s="199">
        <v>7000</v>
      </c>
      <c r="E51" s="20" t="s">
        <v>83</v>
      </c>
      <c r="F51" s="93" t="s">
        <v>57</v>
      </c>
    </row>
    <row r="52" spans="1:45" x14ac:dyDescent="0.25">
      <c r="A52" s="139" t="str">
        <v>Access session border controller - hardware</v>
      </c>
      <c r="B52" s="183" t="s">
        <v>81</v>
      </c>
      <c r="C52" s="139"/>
      <c r="D52" s="199">
        <v>80000</v>
      </c>
      <c r="E52" s="20" t="s">
        <v>84</v>
      </c>
      <c r="F52" s="93" t="s">
        <v>57</v>
      </c>
    </row>
    <row r="53" spans="1:45" x14ac:dyDescent="0.25">
      <c r="A53" s="139" t="str">
        <v>Access session border controller - software</v>
      </c>
      <c r="B53" s="183" t="s">
        <v>81</v>
      </c>
      <c r="C53" s="139"/>
      <c r="D53" s="199">
        <v>8000</v>
      </c>
      <c r="E53" s="20" t="s">
        <v>85</v>
      </c>
      <c r="F53" s="93" t="s">
        <v>57</v>
      </c>
    </row>
    <row r="54" spans="1:45" ht="30" x14ac:dyDescent="0.25">
      <c r="A54" s="139" t="str">
        <v>Internet exchange point session border controller - hardware</v>
      </c>
      <c r="B54" s="183" t="s">
        <v>81</v>
      </c>
      <c r="C54" s="139"/>
      <c r="D54" s="199">
        <v>80000</v>
      </c>
      <c r="E54" s="20" t="s">
        <v>86</v>
      </c>
      <c r="F54" s="93" t="s">
        <v>57</v>
      </c>
    </row>
    <row r="55" spans="1:45" ht="30" x14ac:dyDescent="0.25">
      <c r="A55" s="139" t="str">
        <v>Internet exchange point session border controller - software</v>
      </c>
      <c r="B55" s="183" t="s">
        <v>81</v>
      </c>
      <c r="C55" s="139"/>
      <c r="D55" s="199">
        <v>40000</v>
      </c>
      <c r="E55" s="20" t="s">
        <v>87</v>
      </c>
      <c r="F55" s="93" t="s">
        <v>57</v>
      </c>
    </row>
    <row r="56" spans="1:45" x14ac:dyDescent="0.25">
      <c r="A56" s="92"/>
      <c r="B56" s="139"/>
    </row>
    <row r="57" spans="1:45" x14ac:dyDescent="0.25">
      <c r="A57" s="89" t="s">
        <v>88</v>
      </c>
    </row>
    <row r="58" spans="1:45" x14ac:dyDescent="0.25">
      <c r="A58" s="89" t="s">
        <v>89</v>
      </c>
    </row>
    <row r="59" spans="1:45" x14ac:dyDescent="0.25">
      <c r="A59" s="92"/>
    </row>
    <row r="60" spans="1:45" s="55" customFormat="1" x14ac:dyDescent="0.25">
      <c r="A60" s="54" t="s">
        <v>90</v>
      </c>
    </row>
    <row r="61" spans="1:45" x14ac:dyDescent="0.25">
      <c r="A61" s="2"/>
    </row>
    <row r="62" spans="1:45" x14ac:dyDescent="0.25">
      <c r="A62" s="17" t="s">
        <v>91</v>
      </c>
      <c r="D62" s="81"/>
      <c r="Z62" s="54" t="s">
        <v>92</v>
      </c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</row>
    <row r="64" spans="1:45" x14ac:dyDescent="0.25">
      <c r="B64" s="93"/>
      <c r="D64" s="34" cm="1">
        <f t="array" ref="D64:W64">years</f>
        <v>2018</v>
      </c>
      <c r="E64" s="34">
        <v>2019</v>
      </c>
      <c r="F64" s="34">
        <v>2020</v>
      </c>
      <c r="G64" s="34">
        <v>2021</v>
      </c>
      <c r="H64" s="34">
        <v>2022</v>
      </c>
      <c r="I64" s="34">
        <v>2023</v>
      </c>
      <c r="J64" s="34">
        <v>2024</v>
      </c>
      <c r="K64" s="34">
        <v>2025</v>
      </c>
      <c r="L64" s="34">
        <v>2026</v>
      </c>
      <c r="M64" s="34">
        <v>2027</v>
      </c>
      <c r="N64" s="34">
        <v>2028</v>
      </c>
      <c r="O64" s="34">
        <v>2029</v>
      </c>
      <c r="P64" s="34">
        <v>2030</v>
      </c>
      <c r="Q64" s="34">
        <v>2031</v>
      </c>
      <c r="R64" s="34">
        <v>2032</v>
      </c>
      <c r="S64" s="34">
        <v>2033</v>
      </c>
      <c r="T64" s="34">
        <v>2034</v>
      </c>
      <c r="U64" s="34">
        <v>2035</v>
      </c>
      <c r="V64" s="34">
        <v>2036</v>
      </c>
      <c r="W64" s="34">
        <v>2037</v>
      </c>
      <c r="Z64" s="58" cm="1">
        <f t="array" ref="Z64:AS64">years</f>
        <v>2018</v>
      </c>
      <c r="AA64" s="58">
        <v>2019</v>
      </c>
      <c r="AB64" s="58">
        <v>2020</v>
      </c>
      <c r="AC64" s="58">
        <v>2021</v>
      </c>
      <c r="AD64" s="58">
        <v>2022</v>
      </c>
      <c r="AE64" s="58">
        <v>2023</v>
      </c>
      <c r="AF64" s="58">
        <v>2024</v>
      </c>
      <c r="AG64" s="58">
        <v>2025</v>
      </c>
      <c r="AH64" s="58">
        <v>2026</v>
      </c>
      <c r="AI64" s="58">
        <v>2027</v>
      </c>
      <c r="AJ64" s="58">
        <v>2028</v>
      </c>
      <c r="AK64" s="58">
        <v>2029</v>
      </c>
      <c r="AL64" s="58">
        <v>2030</v>
      </c>
      <c r="AM64" s="58">
        <v>2031</v>
      </c>
      <c r="AN64" s="58">
        <v>2032</v>
      </c>
      <c r="AO64" s="58">
        <v>2033</v>
      </c>
      <c r="AP64" s="58">
        <v>2034</v>
      </c>
      <c r="AQ64" s="58">
        <v>2035</v>
      </c>
      <c r="AR64" s="58">
        <v>2036</v>
      </c>
      <c r="AS64" s="58">
        <v>2037</v>
      </c>
    </row>
    <row r="65" spans="1:45" x14ac:dyDescent="0.25">
      <c r="A65" s="17" t="str">
        <f>'1 Volumes'!A5</f>
        <v>On-net fixed to fixed traffic</v>
      </c>
      <c r="B65" s="93"/>
      <c r="D65" s="31">
        <f>INDEX('1 Volumes'!B8:B10, MATCH(Summary!$B$18,'1 Volumes'!$A8:$A10,0),1)*share_operator</f>
        <v>851084160</v>
      </c>
      <c r="E65" s="31">
        <f>INDEX('1 Volumes'!C8:C10, MATCH(Summary!$B$18,'1 Volumes'!$A8:$A10,0),1)*share_operator</f>
        <v>857907120</v>
      </c>
      <c r="F65" s="31">
        <f>INDEX('1 Volumes'!D8:D10, MATCH(Summary!$B$18,'1 Volumes'!$A8:$A10,0),1)*share_operator</f>
        <v>798904800</v>
      </c>
      <c r="G65" s="31">
        <f>INDEX('1 Volumes'!E8:E10, MATCH(Summary!$B$18,'1 Volumes'!$A8:$A10,0),1)*share_operator</f>
        <v>754632960</v>
      </c>
      <c r="H65" s="31">
        <f>INDEX('1 Volumes'!F8:F10, MATCH(Summary!$B$18,'1 Volumes'!$A8:$A10,0),1)*share_operator</f>
        <v>758406124.79999995</v>
      </c>
      <c r="I65" s="31">
        <f>INDEX('1 Volumes'!G8:G10, MATCH(Summary!$B$18,'1 Volumes'!$A8:$A10,0),1)*share_operator</f>
        <v>762198155.42399979</v>
      </c>
      <c r="J65" s="31">
        <f>INDEX('1 Volumes'!H8:H10, MATCH(Summary!$B$18,'1 Volumes'!$A8:$A10,0),1)*share_operator</f>
        <v>766009146.20111978</v>
      </c>
      <c r="K65" s="31">
        <f>INDEX('1 Volumes'!I8:I10, MATCH(Summary!$B$18,'1 Volumes'!$A8:$A10,0),1)*share_operator</f>
        <v>769839191.93212521</v>
      </c>
      <c r="L65" s="31">
        <f>INDEX('1 Volumes'!J8:J10, MATCH(Summary!$B$18,'1 Volumes'!$A8:$A10,0),1)*share_operator</f>
        <v>773688387.89178574</v>
      </c>
      <c r="M65" s="31">
        <f>INDEX('1 Volumes'!K8:K10, MATCH(Summary!$B$18,'1 Volumes'!$A8:$A10,0),1)*share_operator</f>
        <v>777556829.83124459</v>
      </c>
      <c r="N65" s="31">
        <f>INDEX('1 Volumes'!L8:L10, MATCH(Summary!$B$18,'1 Volumes'!$A8:$A10,0),1)*share_operator</f>
        <v>781444613.98040068</v>
      </c>
      <c r="O65" s="31">
        <f>INDEX('1 Volumes'!M8:M10, MATCH(Summary!$B$18,'1 Volumes'!$A8:$A10,0),1)*share_operator</f>
        <v>785351837.05030262</v>
      </c>
      <c r="P65" s="31">
        <f>INDEX('1 Volumes'!N8:N10, MATCH(Summary!$B$18,'1 Volumes'!$A8:$A10,0),1)*share_operator</f>
        <v>789278596.2355541</v>
      </c>
      <c r="Q65" s="31">
        <f>INDEX('1 Volumes'!O8:O10, MATCH(Summary!$B$18,'1 Volumes'!$A8:$A10,0),1)*share_operator</f>
        <v>793224989.21673179</v>
      </c>
      <c r="R65" s="31">
        <f>INDEX('1 Volumes'!P8:P10, MATCH(Summary!$B$18,'1 Volumes'!$A8:$A10,0),1)*share_operator</f>
        <v>797191114.16281533</v>
      </c>
      <c r="S65" s="31">
        <f>INDEX('1 Volumes'!Q8:Q10, MATCH(Summary!$B$18,'1 Volumes'!$A8:$A10,0),1)*share_operator</f>
        <v>801177069.73362935</v>
      </c>
      <c r="T65" s="31">
        <f>INDEX('1 Volumes'!R8:R10, MATCH(Summary!$B$18,'1 Volumes'!$A8:$A10,0),1)*share_operator</f>
        <v>805182955.08229744</v>
      </c>
      <c r="U65" s="31">
        <f>INDEX('1 Volumes'!S8:S10, MATCH(Summary!$B$18,'1 Volumes'!$A8:$A10,0),1)*share_operator</f>
        <v>809208869.85770893</v>
      </c>
      <c r="V65" s="31">
        <f>INDEX('1 Volumes'!T8:T10, MATCH(Summary!$B$18,'1 Volumes'!$A8:$A10,0),1)*share_operator</f>
        <v>813254914.20699739</v>
      </c>
      <c r="W65" s="31">
        <f>INDEX('1 Volumes'!U8:U10, MATCH(Summary!$B$18,'1 Volumes'!$A8:$A10,0),1)*share_operator</f>
        <v>817321188.7780323</v>
      </c>
    </row>
    <row r="66" spans="1:45" x14ac:dyDescent="0.25">
      <c r="A66" s="17" t="str">
        <f>'1 Volumes'!A12</f>
        <v>Incoming fixed to fixed traffic</v>
      </c>
      <c r="B66" s="93"/>
      <c r="D66" s="31">
        <f>INDEX('1 Volumes'!B15:B17, MATCH(Summary!$B$18,'1 Volumes'!$A15:$A17,0),1)*share_operator</f>
        <v>567389440</v>
      </c>
      <c r="E66" s="31">
        <f>INDEX('1 Volumes'!C15:C17, MATCH(Summary!$B$18,'1 Volumes'!$A15:$A17,0),1)*share_operator</f>
        <v>571938080</v>
      </c>
      <c r="F66" s="31">
        <f>INDEX('1 Volumes'!D15:D17, MATCH(Summary!$B$18,'1 Volumes'!$A15:$A17,0),1)*share_operator</f>
        <v>532603200</v>
      </c>
      <c r="G66" s="31">
        <f>INDEX('1 Volumes'!E15:E17, MATCH(Summary!$B$18,'1 Volumes'!$A15:$A17,0),1)*share_operator</f>
        <v>503088640</v>
      </c>
      <c r="H66" s="31">
        <f>INDEX('1 Volumes'!F15:F17, MATCH(Summary!$B$18,'1 Volumes'!$A15:$A17,0),1)*share_operator</f>
        <v>505604083.19999993</v>
      </c>
      <c r="I66" s="31">
        <f>INDEX('1 Volumes'!G15:G17, MATCH(Summary!$B$18,'1 Volumes'!$A15:$A17,0),1)*share_operator</f>
        <v>508132103.61599994</v>
      </c>
      <c r="J66" s="31">
        <f>INDEX('1 Volumes'!H15:H17, MATCH(Summary!$B$18,'1 Volumes'!$A15:$A17,0),1)*share_operator</f>
        <v>510672764.13407987</v>
      </c>
      <c r="K66" s="31">
        <f>INDEX('1 Volumes'!I15:I17, MATCH(Summary!$B$18,'1 Volumes'!$A15:$A17,0),1)*share_operator</f>
        <v>513226127.95475018</v>
      </c>
      <c r="L66" s="31">
        <f>INDEX('1 Volumes'!J15:J17, MATCH(Summary!$B$18,'1 Volumes'!$A15:$A17,0),1)*share_operator</f>
        <v>515792258.59452385</v>
      </c>
      <c r="M66" s="31">
        <f>INDEX('1 Volumes'!K15:K17, MATCH(Summary!$B$18,'1 Volumes'!$A15:$A17,0),1)*share_operator</f>
        <v>518371219.88749641</v>
      </c>
      <c r="N66" s="31">
        <f>INDEX('1 Volumes'!L15:L17, MATCH(Summary!$B$18,'1 Volumes'!$A15:$A17,0),1)*share_operator</f>
        <v>520963075.98693383</v>
      </c>
      <c r="O66" s="31">
        <f>INDEX('1 Volumes'!M15:M17, MATCH(Summary!$B$18,'1 Volumes'!$A15:$A17,0),1)*share_operator</f>
        <v>523567891.36686844</v>
      </c>
      <c r="P66" s="31">
        <f>INDEX('1 Volumes'!N15:N17, MATCH(Summary!$B$18,'1 Volumes'!$A15:$A17,0),1)*share_operator</f>
        <v>526185730.82370275</v>
      </c>
      <c r="Q66" s="31">
        <f>INDEX('1 Volumes'!O15:O17, MATCH(Summary!$B$18,'1 Volumes'!$A15:$A17,0),1)*share_operator</f>
        <v>528816659.47782117</v>
      </c>
      <c r="R66" s="31">
        <f>INDEX('1 Volumes'!P15:P17, MATCH(Summary!$B$18,'1 Volumes'!$A15:$A17,0),1)*share_operator</f>
        <v>531460742.7752102</v>
      </c>
      <c r="S66" s="31">
        <f>INDEX('1 Volumes'!Q15:Q17, MATCH(Summary!$B$18,'1 Volumes'!$A15:$A17,0),1)*share_operator</f>
        <v>534118046.48908615</v>
      </c>
      <c r="T66" s="31">
        <f>INDEX('1 Volumes'!R15:R17, MATCH(Summary!$B$18,'1 Volumes'!$A15:$A17,0),1)*share_operator</f>
        <v>536788636.72153151</v>
      </c>
      <c r="U66" s="31">
        <f>INDEX('1 Volumes'!S15:S17, MATCH(Summary!$B$18,'1 Volumes'!$A15:$A17,0),1)*share_operator</f>
        <v>539472579.90513909</v>
      </c>
      <c r="V66" s="31">
        <f>INDEX('1 Volumes'!T15:T17, MATCH(Summary!$B$18,'1 Volumes'!$A15:$A17,0),1)*share_operator</f>
        <v>542169942.80466473</v>
      </c>
      <c r="W66" s="31">
        <f>INDEX('1 Volumes'!U15:U17, MATCH(Summary!$B$18,'1 Volumes'!$A15:$A17,0),1)*share_operator</f>
        <v>544880792.51868808</v>
      </c>
    </row>
    <row r="67" spans="1:45" x14ac:dyDescent="0.25">
      <c r="A67" s="17" t="str">
        <f>'1 Volumes'!A19</f>
        <v>Off-net fixed to fixed traffic</v>
      </c>
      <c r="B67" s="93"/>
      <c r="D67" s="31">
        <f>INDEX('1 Volumes'!B22:B24, MATCH(Summary!$B$18,'1 Volumes'!$A22:$A24,0),1)*share_operator</f>
        <v>567389440</v>
      </c>
      <c r="E67" s="31">
        <f>INDEX('1 Volumes'!C22:C24, MATCH(Summary!$B$18,'1 Volumes'!$A22:$A24,0),1)*share_operator</f>
        <v>571938080</v>
      </c>
      <c r="F67" s="31">
        <f>INDEX('1 Volumes'!D22:D24, MATCH(Summary!$B$18,'1 Volumes'!$A22:$A24,0),1)*share_operator</f>
        <v>532603200</v>
      </c>
      <c r="G67" s="31">
        <f>INDEX('1 Volumes'!E22:E24, MATCH(Summary!$B$18,'1 Volumes'!$A22:$A24,0),1)*share_operator</f>
        <v>503088640</v>
      </c>
      <c r="H67" s="31">
        <f>INDEX('1 Volumes'!F22:F24, MATCH(Summary!$B$18,'1 Volumes'!$A22:$A24,0),1)*share_operator</f>
        <v>505604083.19999993</v>
      </c>
      <c r="I67" s="31">
        <f>INDEX('1 Volumes'!G22:G24, MATCH(Summary!$B$18,'1 Volumes'!$A22:$A24,0),1)*share_operator</f>
        <v>508132103.61599994</v>
      </c>
      <c r="J67" s="31">
        <f>INDEX('1 Volumes'!H22:H24, MATCH(Summary!$B$18,'1 Volumes'!$A22:$A24,0),1)*share_operator</f>
        <v>510672764.13407987</v>
      </c>
      <c r="K67" s="31">
        <f>INDEX('1 Volumes'!I22:I24, MATCH(Summary!$B$18,'1 Volumes'!$A22:$A24,0),1)*share_operator</f>
        <v>513226127.95475018</v>
      </c>
      <c r="L67" s="31">
        <f>INDEX('1 Volumes'!J22:J24, MATCH(Summary!$B$18,'1 Volumes'!$A22:$A24,0),1)*share_operator</f>
        <v>515792258.59452385</v>
      </c>
      <c r="M67" s="31">
        <f>INDEX('1 Volumes'!K22:K24, MATCH(Summary!$B$18,'1 Volumes'!$A22:$A24,0),1)*share_operator</f>
        <v>518371219.88749641</v>
      </c>
      <c r="N67" s="31">
        <f>INDEX('1 Volumes'!L22:L24, MATCH(Summary!$B$18,'1 Volumes'!$A22:$A24,0),1)*share_operator</f>
        <v>520963075.98693383</v>
      </c>
      <c r="O67" s="31">
        <f>INDEX('1 Volumes'!M22:M24, MATCH(Summary!$B$18,'1 Volumes'!$A22:$A24,0),1)*share_operator</f>
        <v>523567891.36686844</v>
      </c>
      <c r="P67" s="31">
        <f>INDEX('1 Volumes'!N22:N24, MATCH(Summary!$B$18,'1 Volumes'!$A22:$A24,0),1)*share_operator</f>
        <v>526185730.82370275</v>
      </c>
      <c r="Q67" s="31">
        <f>INDEX('1 Volumes'!O22:O24, MATCH(Summary!$B$18,'1 Volumes'!$A22:$A24,0),1)*share_operator</f>
        <v>528816659.47782117</v>
      </c>
      <c r="R67" s="31">
        <f>INDEX('1 Volumes'!P22:P24, MATCH(Summary!$B$18,'1 Volumes'!$A22:$A24,0),1)*share_operator</f>
        <v>531460742.7752102</v>
      </c>
      <c r="S67" s="31">
        <f>INDEX('1 Volumes'!Q22:Q24, MATCH(Summary!$B$18,'1 Volumes'!$A22:$A24,0),1)*share_operator</f>
        <v>534118046.48908615</v>
      </c>
      <c r="T67" s="31">
        <f>INDEX('1 Volumes'!R22:R24, MATCH(Summary!$B$18,'1 Volumes'!$A22:$A24,0),1)*share_operator</f>
        <v>536788636.72153151</v>
      </c>
      <c r="U67" s="31">
        <f>INDEX('1 Volumes'!S22:S24, MATCH(Summary!$B$18,'1 Volumes'!$A22:$A24,0),1)*share_operator</f>
        <v>539472579.90513909</v>
      </c>
      <c r="V67" s="31">
        <f>INDEX('1 Volumes'!T22:T24, MATCH(Summary!$B$18,'1 Volumes'!$A22:$A24,0),1)*share_operator</f>
        <v>542169942.80466473</v>
      </c>
      <c r="W67" s="31">
        <f>INDEX('1 Volumes'!U22:U24, MATCH(Summary!$B$18,'1 Volumes'!$A22:$A24,0),1)*share_operator</f>
        <v>544880792.51868808</v>
      </c>
    </row>
    <row r="68" spans="1:45" x14ac:dyDescent="0.25">
      <c r="A68" s="17" t="str">
        <f>'1 Volumes'!A26</f>
        <v>Fixed to Mobile Telephone traffic</v>
      </c>
      <c r="B68" s="93"/>
      <c r="D68" s="31">
        <f>INDEX('1 Volumes'!B29:B31, MATCH(Summary!$B$18,'1 Volumes'!$A29:$A31,0),1)*share_operator</f>
        <v>1710296700</v>
      </c>
      <c r="E68" s="31">
        <f>INDEX('1 Volumes'!C29:C31, MATCH(Summary!$B$18,'1 Volumes'!$A29:$A31,0),1)*share_operator</f>
        <v>1665529600</v>
      </c>
      <c r="F68" s="31">
        <f>INDEX('1 Volumes'!D29:D31, MATCH(Summary!$B$18,'1 Volumes'!$A29:$A31,0),1)*share_operator</f>
        <v>1927362000</v>
      </c>
      <c r="G68" s="31">
        <f>INDEX('1 Volumes'!E29:E31, MATCH(Summary!$B$18,'1 Volumes'!$A29:$A31,0),1)*share_operator</f>
        <v>1928352000</v>
      </c>
      <c r="H68" s="31">
        <f>INDEX('1 Volumes'!F29:F31, MATCH(Summary!$B$18,'1 Volumes'!$A29:$A31,0),1)*share_operator</f>
        <v>1937993759.9999998</v>
      </c>
      <c r="I68" s="31">
        <f>INDEX('1 Volumes'!G29:G31, MATCH(Summary!$B$18,'1 Volumes'!$A29:$A31,0),1)*share_operator</f>
        <v>1947683728.7999992</v>
      </c>
      <c r="J68" s="31">
        <f>INDEX('1 Volumes'!H29:H31, MATCH(Summary!$B$18,'1 Volumes'!$A29:$A31,0),1)*share_operator</f>
        <v>1957422147.4439993</v>
      </c>
      <c r="K68" s="31">
        <f>INDEX('1 Volumes'!I29:I31, MATCH(Summary!$B$18,'1 Volumes'!$A29:$A31,0),1)*share_operator</f>
        <v>1967209258.1812189</v>
      </c>
      <c r="L68" s="31">
        <f>INDEX('1 Volumes'!J29:J31, MATCH(Summary!$B$18,'1 Volumes'!$A29:$A31,0),1)*share_operator</f>
        <v>1977045304.4721246</v>
      </c>
      <c r="M68" s="31">
        <f>INDEX('1 Volumes'!K29:K31, MATCH(Summary!$B$18,'1 Volumes'!$A29:$A31,0),1)*share_operator</f>
        <v>1986930530.9944849</v>
      </c>
      <c r="N68" s="31">
        <f>INDEX('1 Volumes'!L29:L31, MATCH(Summary!$B$18,'1 Volumes'!$A29:$A31,0),1)*share_operator</f>
        <v>1996865183.649457</v>
      </c>
      <c r="O68" s="31">
        <f>INDEX('1 Volumes'!M29:M31, MATCH(Summary!$B$18,'1 Volumes'!$A29:$A31,0),1)*share_operator</f>
        <v>2006849509.5677042</v>
      </c>
      <c r="P68" s="31">
        <f>INDEX('1 Volumes'!N29:N31, MATCH(Summary!$B$18,'1 Volumes'!$A29:$A31,0),1)*share_operator</f>
        <v>2016883757.1155424</v>
      </c>
      <c r="Q68" s="31">
        <f>INDEX('1 Volumes'!O29:O31, MATCH(Summary!$B$18,'1 Volumes'!$A29:$A31,0),1)*share_operator</f>
        <v>2026968175.9011197</v>
      </c>
      <c r="R68" s="31">
        <f>INDEX('1 Volumes'!P29:P31, MATCH(Summary!$B$18,'1 Volumes'!$A29:$A31,0),1)*share_operator</f>
        <v>2037103016.7806253</v>
      </c>
      <c r="S68" s="31">
        <f>INDEX('1 Volumes'!Q29:Q31, MATCH(Summary!$B$18,'1 Volumes'!$A29:$A31,0),1)*share_operator</f>
        <v>2047288531.8645279</v>
      </c>
      <c r="T68" s="31">
        <f>INDEX('1 Volumes'!R29:R31, MATCH(Summary!$B$18,'1 Volumes'!$A29:$A31,0),1)*share_operator</f>
        <v>2057524974.5238504</v>
      </c>
      <c r="U68" s="31">
        <f>INDEX('1 Volumes'!S29:S31, MATCH(Summary!$B$18,'1 Volumes'!$A29:$A31,0),1)*share_operator</f>
        <v>2067812599.3964691</v>
      </c>
      <c r="V68" s="31">
        <f>INDEX('1 Volumes'!T29:T31, MATCH(Summary!$B$18,'1 Volumes'!$A29:$A31,0),1)*share_operator</f>
        <v>2078151662.3934515</v>
      </c>
      <c r="W68" s="31">
        <f>INDEX('1 Volumes'!U29:U31, MATCH(Summary!$B$18,'1 Volumes'!$A29:$A31,0),1)*share_operator</f>
        <v>2088542420.7054186</v>
      </c>
    </row>
    <row r="69" spans="1:45" x14ac:dyDescent="0.25">
      <c r="A69" s="17" t="str">
        <f>'1 Volumes'!A33</f>
        <v>Outgoing mobile traffic to fixed networks</v>
      </c>
      <c r="B69" s="93"/>
      <c r="D69" s="31">
        <f>INDEX('1 Volumes'!B36:B38, MATCH(Summary!$B$18,'1 Volumes'!$A36:$A38,0),1)*share_operator</f>
        <v>496994400</v>
      </c>
      <c r="E69" s="31">
        <f>INDEX('1 Volumes'!C36:C38, MATCH(Summary!$B$18,'1 Volumes'!$A36:$A38,0),1)*share_operator</f>
        <v>689729600</v>
      </c>
      <c r="F69" s="31">
        <f>INDEX('1 Volumes'!D36:D38, MATCH(Summary!$B$18,'1 Volumes'!$A36:$A38,0),1)*share_operator</f>
        <v>883671000</v>
      </c>
      <c r="G69" s="31">
        <f>INDEX('1 Volumes'!E36:E38, MATCH(Summary!$B$18,'1 Volumes'!$A36:$A38,0),1)*share_operator</f>
        <v>878147200</v>
      </c>
      <c r="H69" s="31">
        <f>INDEX('1 Volumes'!F36:F38, MATCH(Summary!$B$18,'1 Volumes'!$A36:$A38,0),1)*share_operator</f>
        <v>882537936</v>
      </c>
      <c r="I69" s="31">
        <f>INDEX('1 Volumes'!G36:G38, MATCH(Summary!$B$18,'1 Volumes'!$A36:$A38,0),1)*share_operator</f>
        <v>886950625.67999995</v>
      </c>
      <c r="J69" s="31">
        <f>INDEX('1 Volumes'!H36:H38, MATCH(Summary!$B$18,'1 Volumes'!$A36:$A38,0),1)*share_operator</f>
        <v>891385378.8083998</v>
      </c>
      <c r="K69" s="31">
        <f>INDEX('1 Volumes'!I36:I38, MATCH(Summary!$B$18,'1 Volumes'!$A36:$A38,0),1)*share_operator</f>
        <v>895842305.70244169</v>
      </c>
      <c r="L69" s="31">
        <f>INDEX('1 Volumes'!J36:J38, MATCH(Summary!$B$18,'1 Volumes'!$A36:$A38,0),1)*share_operator</f>
        <v>900321517.23095381</v>
      </c>
      <c r="M69" s="31">
        <f>INDEX('1 Volumes'!K36:K38, MATCH(Summary!$B$18,'1 Volumes'!$A36:$A38,0),1)*share_operator</f>
        <v>904823124.81710863</v>
      </c>
      <c r="N69" s="31">
        <f>INDEX('1 Volumes'!L36:L38, MATCH(Summary!$B$18,'1 Volumes'!$A36:$A38,0),1)*share_operator</f>
        <v>909347240.44119406</v>
      </c>
      <c r="O69" s="31">
        <f>INDEX('1 Volumes'!M36:M38, MATCH(Summary!$B$18,'1 Volumes'!$A36:$A38,0),1)*share_operator</f>
        <v>913893976.64339983</v>
      </c>
      <c r="P69" s="31">
        <f>INDEX('1 Volumes'!N36:N38, MATCH(Summary!$B$18,'1 Volumes'!$A36:$A38,0),1)*share_operator</f>
        <v>918463446.52661669</v>
      </c>
      <c r="Q69" s="31">
        <f>INDEX('1 Volumes'!O36:O38, MATCH(Summary!$B$18,'1 Volumes'!$A36:$A38,0),1)*share_operator</f>
        <v>923055763.75924969</v>
      </c>
      <c r="R69" s="31">
        <f>INDEX('1 Volumes'!P36:P38, MATCH(Summary!$B$18,'1 Volumes'!$A36:$A38,0),1)*share_operator</f>
        <v>927671042.57804585</v>
      </c>
      <c r="S69" s="31">
        <f>INDEX('1 Volumes'!Q36:Q38, MATCH(Summary!$B$18,'1 Volumes'!$A36:$A38,0),1)*share_operator</f>
        <v>932309397.79093599</v>
      </c>
      <c r="T69" s="31">
        <f>INDEX('1 Volumes'!R36:R38, MATCH(Summary!$B$18,'1 Volumes'!$A36:$A38,0),1)*share_operator</f>
        <v>936970944.77989054</v>
      </c>
      <c r="U69" s="31">
        <f>INDEX('1 Volumes'!S36:S38, MATCH(Summary!$B$18,'1 Volumes'!$A36:$A38,0),1)*share_operator</f>
        <v>941655799.50378978</v>
      </c>
      <c r="V69" s="31">
        <f>INDEX('1 Volumes'!T36:T38, MATCH(Summary!$B$18,'1 Volumes'!$A36:$A38,0),1)*share_operator</f>
        <v>946364078.50130868</v>
      </c>
      <c r="W69" s="31">
        <f>INDEX('1 Volumes'!U36:U38, MATCH(Summary!$B$18,'1 Volumes'!$A36:$A38,0),1)*share_operator</f>
        <v>951095898.89381504</v>
      </c>
    </row>
    <row r="70" spans="1:45" x14ac:dyDescent="0.25">
      <c r="A70" s="17" t="str">
        <f>'1 Volumes'!A40</f>
        <v xml:space="preserve">International incoming fixed telephone traffic </v>
      </c>
      <c r="B70" s="93"/>
      <c r="D70" s="31">
        <f>INDEX('1 Volumes'!B42:B44, MATCH(Summary!$B$18,'1 Volumes'!$A42:$A44,0),1)*share_operator</f>
        <v>75757290</v>
      </c>
      <c r="E70" s="31">
        <f>INDEX('1 Volumes'!C42:C44, MATCH(Summary!$B$18,'1 Volumes'!$A42:$A44,0),1)*share_operator</f>
        <v>44267440</v>
      </c>
      <c r="F70" s="31">
        <f>INDEX('1 Volumes'!D42:D44, MATCH(Summary!$B$18,'1 Volumes'!$A42:$A44,0),1)*share_operator</f>
        <v>30952500</v>
      </c>
      <c r="G70" s="31">
        <f>INDEX('1 Volumes'!E42:E44, MATCH(Summary!$B$18,'1 Volumes'!$A42:$A44,0),1)*share_operator</f>
        <v>14441152</v>
      </c>
      <c r="H70" s="31">
        <f>INDEX('1 Volumes'!F42:F44, MATCH(Summary!$B$18,'1 Volumes'!$A42:$A44,0),1)*share_operator</f>
        <v>14513357.76</v>
      </c>
      <c r="I70" s="31">
        <f>INDEX('1 Volumes'!G42:G44, MATCH(Summary!$B$18,'1 Volumes'!$A42:$A44,0),1)*share_operator</f>
        <v>14585924.548799999</v>
      </c>
      <c r="J70" s="31">
        <f>INDEX('1 Volumes'!H42:H44, MATCH(Summary!$B$18,'1 Volumes'!$A42:$A44,0),1)*share_operator</f>
        <v>14658854.171543995</v>
      </c>
      <c r="K70" s="31">
        <f>INDEX('1 Volumes'!I42:I44, MATCH(Summary!$B$18,'1 Volumes'!$A42:$A44,0),1)*share_operator</f>
        <v>14732148.442401715</v>
      </c>
      <c r="L70" s="31">
        <f>INDEX('1 Volumes'!J42:J44, MATCH(Summary!$B$18,'1 Volumes'!$A42:$A44,0),1)*share_operator</f>
        <v>14805809.18461372</v>
      </c>
      <c r="M70" s="31">
        <f>INDEX('1 Volumes'!K42:K44, MATCH(Summary!$B$18,'1 Volumes'!$A42:$A44,0),1)*share_operator</f>
        <v>14879838.230536787</v>
      </c>
      <c r="N70" s="31">
        <f>INDEX('1 Volumes'!L42:L44, MATCH(Summary!$B$18,'1 Volumes'!$A42:$A44,0),1)*share_operator</f>
        <v>14954237.421689469</v>
      </c>
      <c r="O70" s="31">
        <f>INDEX('1 Volumes'!M42:M44, MATCH(Summary!$B$18,'1 Volumes'!$A42:$A44,0),1)*share_operator</f>
        <v>15029008.608797915</v>
      </c>
      <c r="P70" s="31">
        <f>INDEX('1 Volumes'!N42:N44, MATCH(Summary!$B$18,'1 Volumes'!$A42:$A44,0),1)*share_operator</f>
        <v>15104153.651841903</v>
      </c>
      <c r="Q70" s="31">
        <f>INDEX('1 Volumes'!O42:O44, MATCH(Summary!$B$18,'1 Volumes'!$A42:$A44,0),1)*share_operator</f>
        <v>15179674.420101114</v>
      </c>
      <c r="R70" s="31">
        <f>INDEX('1 Volumes'!P42:P44, MATCH(Summary!$B$18,'1 Volumes'!$A42:$A44,0),1)*share_operator</f>
        <v>15255572.792201618</v>
      </c>
      <c r="S70" s="31">
        <f>INDEX('1 Volumes'!Q42:Q44, MATCH(Summary!$B$18,'1 Volumes'!$A42:$A44,0),1)*share_operator</f>
        <v>15331850.656162623</v>
      </c>
      <c r="T70" s="31">
        <f>INDEX('1 Volumes'!R42:R44, MATCH(Summary!$B$18,'1 Volumes'!$A42:$A44,0),1)*share_operator</f>
        <v>15408509.909443436</v>
      </c>
      <c r="U70" s="31">
        <f>INDEX('1 Volumes'!S42:S44, MATCH(Summary!$B$18,'1 Volumes'!$A42:$A44,0),1)*share_operator</f>
        <v>15485552.458990652</v>
      </c>
      <c r="V70" s="31">
        <f>INDEX('1 Volumes'!T42:T44, MATCH(Summary!$B$18,'1 Volumes'!$A42:$A44,0),1)*share_operator</f>
        <v>15562980.221285604</v>
      </c>
      <c r="W70" s="31">
        <f>INDEX('1 Volumes'!U42:U44, MATCH(Summary!$B$18,'1 Volumes'!$A42:$A44,0),1)*share_operator</f>
        <v>15640795.122392029</v>
      </c>
    </row>
    <row r="71" spans="1:45" x14ac:dyDescent="0.25">
      <c r="A71" s="17" t="str">
        <f>'1 Volumes'!A46</f>
        <v>International outgoing fixed telephone traffic</v>
      </c>
      <c r="B71" s="93"/>
      <c r="D71" s="31">
        <f>INDEX('1 Volumes'!B48:B50, MATCH(Summary!$B$18,'1 Volumes'!$A48:$A50,0),1)*share_operator</f>
        <v>74847360</v>
      </c>
      <c r="E71" s="31">
        <f>INDEX('1 Volumes'!C48:C50, MATCH(Summary!$B$18,'1 Volumes'!$A48:$A50,0),1)*share_operator</f>
        <v>22348424</v>
      </c>
      <c r="F71" s="31">
        <f>INDEX('1 Volumes'!D48:D50, MATCH(Summary!$B$18,'1 Volumes'!$A48:$A50,0),1)*share_operator</f>
        <v>24484650</v>
      </c>
      <c r="G71" s="31">
        <f>INDEX('1 Volumes'!E48:E50, MATCH(Summary!$B$18,'1 Volumes'!$A48:$A50,0),1)*share_operator</f>
        <v>20778752</v>
      </c>
      <c r="H71" s="31">
        <f>INDEX('1 Volumes'!F48:F50, MATCH(Summary!$B$18,'1 Volumes'!$A48:$A50,0),1)*share_operator</f>
        <v>20882645.759999998</v>
      </c>
      <c r="I71" s="31">
        <f>INDEX('1 Volumes'!G48:G50, MATCH(Summary!$B$18,'1 Volumes'!$A48:$A50,0),1)*share_operator</f>
        <v>20987058.988799997</v>
      </c>
      <c r="J71" s="31">
        <f>INDEX('1 Volumes'!H48:H50, MATCH(Summary!$B$18,'1 Volumes'!$A48:$A50,0),1)*share_operator</f>
        <v>21091994.283743992</v>
      </c>
      <c r="K71" s="31">
        <f>INDEX('1 Volumes'!I48:I50, MATCH(Summary!$B$18,'1 Volumes'!$A48:$A50,0),1)*share_operator</f>
        <v>21197454.255162712</v>
      </c>
      <c r="L71" s="31">
        <f>INDEX('1 Volumes'!J48:J50, MATCH(Summary!$B$18,'1 Volumes'!$A48:$A50,0),1)*share_operator</f>
        <v>21303441.526438523</v>
      </c>
      <c r="M71" s="31">
        <f>INDEX('1 Volumes'!K48:K50, MATCH(Summary!$B$18,'1 Volumes'!$A48:$A50,0),1)*share_operator</f>
        <v>21409958.734070715</v>
      </c>
      <c r="N71" s="31">
        <f>INDEX('1 Volumes'!L48:L50, MATCH(Summary!$B$18,'1 Volumes'!$A48:$A50,0),1)*share_operator</f>
        <v>21517008.527741063</v>
      </c>
      <c r="O71" s="31">
        <f>INDEX('1 Volumes'!M48:M50, MATCH(Summary!$B$18,'1 Volumes'!$A48:$A50,0),1)*share_operator</f>
        <v>21624593.570379768</v>
      </c>
      <c r="P71" s="31">
        <f>INDEX('1 Volumes'!N48:N50, MATCH(Summary!$B$18,'1 Volumes'!$A48:$A50,0),1)*share_operator</f>
        <v>21732716.538231663</v>
      </c>
      <c r="Q71" s="31">
        <f>INDEX('1 Volumes'!O48:O50, MATCH(Summary!$B$18,'1 Volumes'!$A48:$A50,0),1)*share_operator</f>
        <v>21841380.120922819</v>
      </c>
      <c r="R71" s="31">
        <f>INDEX('1 Volumes'!P48:P50, MATCH(Summary!$B$18,'1 Volumes'!$A48:$A50,0),1)*share_operator</f>
        <v>21950587.021527432</v>
      </c>
      <c r="S71" s="31">
        <f>INDEX('1 Volumes'!Q48:Q50, MATCH(Summary!$B$18,'1 Volumes'!$A48:$A50,0),1)*share_operator</f>
        <v>22060339.956635065</v>
      </c>
      <c r="T71" s="31">
        <f>INDEX('1 Volumes'!R48:R50, MATCH(Summary!$B$18,'1 Volumes'!$A48:$A50,0),1)*share_operator</f>
        <v>22170641.656418238</v>
      </c>
      <c r="U71" s="31">
        <f>INDEX('1 Volumes'!S48:S50, MATCH(Summary!$B$18,'1 Volumes'!$A48:$A50,0),1)*share_operator</f>
        <v>22281494.864700329</v>
      </c>
      <c r="V71" s="31">
        <f>INDEX('1 Volumes'!T48:T50, MATCH(Summary!$B$18,'1 Volumes'!$A48:$A50,0),1)*share_operator</f>
        <v>22392902.339023829</v>
      </c>
      <c r="W71" s="31">
        <f>INDEX('1 Volumes'!U48:U50, MATCH(Summary!$B$18,'1 Volumes'!$A48:$A50,0),1)*share_operator</f>
        <v>22504866.850718945</v>
      </c>
    </row>
    <row r="72" spans="1:45" x14ac:dyDescent="0.25">
      <c r="A72" s="20" t="s">
        <v>93</v>
      </c>
      <c r="B72" s="93"/>
      <c r="K72" s="17" t="e">
        <f>INDEX('1 Volumes'!I29:I31, MATCH(Summary!$B$18,'1 Volumes'!$A29:$A31),1)</f>
        <v>#N/A</v>
      </c>
      <c r="L72" s="17" t="e">
        <f>INDEX('1 Volumes'!J29:J31, MATCH(Summary!$B$18,'1 Volumes'!$A29:$A31),1)</f>
        <v>#N/A</v>
      </c>
      <c r="M72" s="17" t="e">
        <f>INDEX('1 Volumes'!K29:K31, MATCH(Summary!$B$18,'1 Volumes'!$A29:$A31),1)</f>
        <v>#N/A</v>
      </c>
      <c r="N72" s="17" t="e">
        <f>INDEX('1 Volumes'!L29:L31, MATCH(Summary!$B$18,'1 Volumes'!$A29:$A31),1)</f>
        <v>#N/A</v>
      </c>
      <c r="O72" s="17" t="e">
        <f>INDEX('1 Volumes'!M29:M31, MATCH(Summary!$B$18,'1 Volumes'!$A29:$A31),1)</f>
        <v>#N/A</v>
      </c>
      <c r="X72" s="20" t="s">
        <v>94</v>
      </c>
    </row>
    <row r="74" spans="1:45" s="55" customFormat="1" x14ac:dyDescent="0.25">
      <c r="A74" s="54" t="s">
        <v>95</v>
      </c>
    </row>
    <row r="76" spans="1:45" x14ac:dyDescent="0.25">
      <c r="A76" s="17" t="s">
        <v>96</v>
      </c>
      <c r="Z76" s="54" t="s">
        <v>92</v>
      </c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</row>
    <row r="77" spans="1:45" x14ac:dyDescent="0.25">
      <c r="A77" s="93"/>
      <c r="B77" s="92"/>
    </row>
    <row r="78" spans="1:45" s="93" customFormat="1" x14ac:dyDescent="0.25">
      <c r="A78" s="96"/>
      <c r="B78" s="92"/>
      <c r="D78" s="34" cm="1">
        <f t="array" ref="D78:W78">years</f>
        <v>2018</v>
      </c>
      <c r="E78" s="34">
        <v>2019</v>
      </c>
      <c r="F78" s="34">
        <v>2020</v>
      </c>
      <c r="G78" s="34">
        <v>2021</v>
      </c>
      <c r="H78" s="34">
        <v>2022</v>
      </c>
      <c r="I78" s="34">
        <v>2023</v>
      </c>
      <c r="J78" s="34">
        <v>2024</v>
      </c>
      <c r="K78" s="34">
        <v>2025</v>
      </c>
      <c r="L78" s="34">
        <v>2026</v>
      </c>
      <c r="M78" s="34">
        <v>2027</v>
      </c>
      <c r="N78" s="34">
        <v>2028</v>
      </c>
      <c r="O78" s="34">
        <v>2029</v>
      </c>
      <c r="P78" s="34">
        <v>2030</v>
      </c>
      <c r="Q78" s="34">
        <v>2031</v>
      </c>
      <c r="R78" s="34">
        <v>2032</v>
      </c>
      <c r="S78" s="34">
        <v>2033</v>
      </c>
      <c r="T78" s="34">
        <v>2034</v>
      </c>
      <c r="U78" s="34">
        <v>2035</v>
      </c>
      <c r="V78" s="34">
        <v>2036</v>
      </c>
      <c r="W78" s="34">
        <v>2037</v>
      </c>
      <c r="Z78" s="58" cm="1">
        <f t="array" ref="Z78:AS78">years</f>
        <v>2018</v>
      </c>
      <c r="AA78" s="58">
        <v>2019</v>
      </c>
      <c r="AB78" s="58">
        <v>2020</v>
      </c>
      <c r="AC78" s="58">
        <v>2021</v>
      </c>
      <c r="AD78" s="58">
        <v>2022</v>
      </c>
      <c r="AE78" s="58">
        <v>2023</v>
      </c>
      <c r="AF78" s="58">
        <v>2024</v>
      </c>
      <c r="AG78" s="58">
        <v>2025</v>
      </c>
      <c r="AH78" s="58">
        <v>2026</v>
      </c>
      <c r="AI78" s="58">
        <v>2027</v>
      </c>
      <c r="AJ78" s="58">
        <v>2028</v>
      </c>
      <c r="AK78" s="58">
        <v>2029</v>
      </c>
      <c r="AL78" s="58">
        <v>2030</v>
      </c>
      <c r="AM78" s="58">
        <v>2031</v>
      </c>
      <c r="AN78" s="58">
        <v>2032</v>
      </c>
      <c r="AO78" s="58">
        <v>2033</v>
      </c>
      <c r="AP78" s="58">
        <v>2034</v>
      </c>
      <c r="AQ78" s="58">
        <v>2035</v>
      </c>
      <c r="AR78" s="58">
        <v>2036</v>
      </c>
      <c r="AS78" s="58">
        <v>2037</v>
      </c>
    </row>
    <row r="79" spans="1:45" x14ac:dyDescent="0.25">
      <c r="A79" s="17" t="str" cm="1">
        <f t="array" ref="A79:A85">fixed_services</f>
        <v>On-net fixed to fixed traffic</v>
      </c>
      <c r="B79" s="23"/>
      <c r="D79" s="152" cm="1">
        <f t="array" ref="D79:W85">fixed_minutes*busy_hour_perc</f>
        <v>261872.04923076928</v>
      </c>
      <c r="E79" s="153">
        <v>263971.42153846158</v>
      </c>
      <c r="F79" s="153">
        <v>245816.86153846158</v>
      </c>
      <c r="G79" s="153">
        <v>232194.75692307696</v>
      </c>
      <c r="H79" s="153">
        <v>233355.73070769233</v>
      </c>
      <c r="I79" s="153">
        <v>234522.50936123074</v>
      </c>
      <c r="J79" s="153">
        <v>235695.1219080369</v>
      </c>
      <c r="K79" s="152">
        <v>236873.59751757703</v>
      </c>
      <c r="L79" s="152">
        <v>238057.9655051649</v>
      </c>
      <c r="M79" s="152">
        <v>239248.25533269069</v>
      </c>
      <c r="N79" s="152">
        <v>240444.4966093541</v>
      </c>
      <c r="O79" s="152">
        <v>241646.71909240086</v>
      </c>
      <c r="P79" s="152">
        <v>242854.95268786285</v>
      </c>
      <c r="Q79" s="152">
        <v>244069.22745130214</v>
      </c>
      <c r="R79" s="152">
        <v>245289.57358855862</v>
      </c>
      <c r="S79" s="152">
        <v>246516.02145650139</v>
      </c>
      <c r="T79" s="152">
        <v>247748.60156378389</v>
      </c>
      <c r="U79" s="152">
        <v>248987.34457160279</v>
      </c>
      <c r="V79" s="152">
        <v>250232.28129446079</v>
      </c>
      <c r="W79" s="152">
        <v>251483.44270093308</v>
      </c>
    </row>
    <row r="80" spans="1:45" x14ac:dyDescent="0.25">
      <c r="A80" s="17" t="str">
        <v>Incoming fixed to fixed traffic</v>
      </c>
      <c r="B80" s="23"/>
      <c r="D80" s="83">
        <v>174581.3661538462</v>
      </c>
      <c r="E80" s="150">
        <v>175980.94769230773</v>
      </c>
      <c r="F80" s="150">
        <v>163877.90769230772</v>
      </c>
      <c r="G80" s="150">
        <v>154796.50461538465</v>
      </c>
      <c r="H80" s="150">
        <v>155570.48713846155</v>
      </c>
      <c r="I80" s="150">
        <v>156348.33957415386</v>
      </c>
      <c r="J80" s="150">
        <v>157130.0812720246</v>
      </c>
      <c r="K80" s="83">
        <v>157915.73167838471</v>
      </c>
      <c r="L80" s="83">
        <v>158705.3103367766</v>
      </c>
      <c r="M80" s="83">
        <v>159498.83688846047</v>
      </c>
      <c r="N80" s="83">
        <v>160296.33107290274</v>
      </c>
      <c r="O80" s="83">
        <v>161097.81272826725</v>
      </c>
      <c r="P80" s="83">
        <v>161903.30179190857</v>
      </c>
      <c r="Q80" s="83">
        <v>162712.81830086809</v>
      </c>
      <c r="R80" s="83">
        <v>163526.38239237241</v>
      </c>
      <c r="S80" s="83">
        <v>164344.01430433424</v>
      </c>
      <c r="T80" s="83">
        <v>165165.73437585589</v>
      </c>
      <c r="U80" s="83">
        <v>165991.56304773514</v>
      </c>
      <c r="V80" s="83">
        <v>166821.52086297379</v>
      </c>
      <c r="W80" s="83">
        <v>167655.62846728868</v>
      </c>
    </row>
    <row r="81" spans="1:24" x14ac:dyDescent="0.25">
      <c r="A81" s="17" t="str">
        <v>Off-net fixed to fixed traffic</v>
      </c>
      <c r="B81" s="23"/>
      <c r="D81" s="148">
        <v>174581.3661538462</v>
      </c>
      <c r="E81" s="151">
        <v>175980.94769230773</v>
      </c>
      <c r="F81" s="151">
        <v>163877.90769230772</v>
      </c>
      <c r="G81" s="151">
        <v>154796.50461538465</v>
      </c>
      <c r="H81" s="151">
        <v>155570.48713846155</v>
      </c>
      <c r="I81" s="151">
        <v>156348.33957415386</v>
      </c>
      <c r="J81" s="151">
        <v>157130.0812720246</v>
      </c>
      <c r="K81" s="148">
        <v>157915.73167838471</v>
      </c>
      <c r="L81" s="148">
        <v>158705.3103367766</v>
      </c>
      <c r="M81" s="148">
        <v>159498.83688846047</v>
      </c>
      <c r="N81" s="148">
        <v>160296.33107290274</v>
      </c>
      <c r="O81" s="148">
        <v>161097.81272826725</v>
      </c>
      <c r="P81" s="148">
        <v>161903.30179190857</v>
      </c>
      <c r="Q81" s="148">
        <v>162712.81830086809</v>
      </c>
      <c r="R81" s="148">
        <v>163526.38239237241</v>
      </c>
      <c r="S81" s="148">
        <v>164344.01430433424</v>
      </c>
      <c r="T81" s="148">
        <v>165165.73437585589</v>
      </c>
      <c r="U81" s="148">
        <v>165991.56304773514</v>
      </c>
      <c r="V81" s="148">
        <v>166821.52086297379</v>
      </c>
      <c r="W81" s="148">
        <v>167655.62846728868</v>
      </c>
    </row>
    <row r="82" spans="1:24" x14ac:dyDescent="0.25">
      <c r="A82" s="17" t="str">
        <v>Fixed to Mobile Telephone traffic</v>
      </c>
      <c r="B82" s="23"/>
      <c r="D82" s="148">
        <v>526245.13846153859</v>
      </c>
      <c r="E82" s="151">
        <v>512470.64615384629</v>
      </c>
      <c r="F82" s="151">
        <v>593034.46153846162</v>
      </c>
      <c r="G82" s="151">
        <v>593339.07692307699</v>
      </c>
      <c r="H82" s="151">
        <v>596305.77230769233</v>
      </c>
      <c r="I82" s="151">
        <v>599287.3011692306</v>
      </c>
      <c r="J82" s="151">
        <v>602283.73767507682</v>
      </c>
      <c r="K82" s="148">
        <v>605295.15636345209</v>
      </c>
      <c r="L82" s="148">
        <v>608321.63214526919</v>
      </c>
      <c r="M82" s="148">
        <v>611363.24030599545</v>
      </c>
      <c r="N82" s="148">
        <v>614420.05650752538</v>
      </c>
      <c r="O82" s="148">
        <v>617492.15679006302</v>
      </c>
      <c r="P82" s="148">
        <v>620579.61757401319</v>
      </c>
      <c r="Q82" s="148">
        <v>623682.51566188317</v>
      </c>
      <c r="R82" s="148">
        <v>626800.92824019259</v>
      </c>
      <c r="S82" s="148">
        <v>629934.93288139335</v>
      </c>
      <c r="T82" s="148">
        <v>633084.60754580027</v>
      </c>
      <c r="U82" s="148">
        <v>636250.03058352903</v>
      </c>
      <c r="V82" s="148">
        <v>639431.28073644673</v>
      </c>
      <c r="W82" s="148">
        <v>642628.43714012892</v>
      </c>
    </row>
    <row r="83" spans="1:24" x14ac:dyDescent="0.25">
      <c r="A83" s="17" t="str">
        <v>Outgoing mobile traffic to fixed networks</v>
      </c>
      <c r="B83" s="23"/>
      <c r="D83" s="148">
        <v>152921.35384615388</v>
      </c>
      <c r="E83" s="151">
        <v>212224.49230769236</v>
      </c>
      <c r="F83" s="151">
        <v>271898.76923076931</v>
      </c>
      <c r="G83" s="151">
        <v>270199.13846153853</v>
      </c>
      <c r="H83" s="151">
        <v>271550.13415384619</v>
      </c>
      <c r="I83" s="151">
        <v>272907.88482461544</v>
      </c>
      <c r="J83" s="151">
        <v>274272.42424873845</v>
      </c>
      <c r="K83" s="148">
        <v>275643.78636998212</v>
      </c>
      <c r="L83" s="148">
        <v>277022.00530183199</v>
      </c>
      <c r="M83" s="148">
        <v>278407.1153283412</v>
      </c>
      <c r="N83" s="148">
        <v>279799.15090498287</v>
      </c>
      <c r="O83" s="148">
        <v>281198.14665950771</v>
      </c>
      <c r="P83" s="148">
        <v>282604.13739280519</v>
      </c>
      <c r="Q83" s="148">
        <v>284017.15807976917</v>
      </c>
      <c r="R83" s="148">
        <v>285437.24387016799</v>
      </c>
      <c r="S83" s="148">
        <v>286864.43008951884</v>
      </c>
      <c r="T83" s="148">
        <v>288298.75223996636</v>
      </c>
      <c r="U83" s="148">
        <v>289740.24600116618</v>
      </c>
      <c r="V83" s="148">
        <v>291188.94723117194</v>
      </c>
      <c r="W83" s="148">
        <v>292644.89196732774</v>
      </c>
    </row>
    <row r="84" spans="1:24" x14ac:dyDescent="0.25">
      <c r="A84" s="17" t="str">
        <v xml:space="preserve">International incoming fixed telephone traffic </v>
      </c>
      <c r="B84" s="23"/>
      <c r="D84" s="148">
        <v>23309.93538461539</v>
      </c>
      <c r="E84" s="151">
        <v>13620.750769230772</v>
      </c>
      <c r="F84" s="151">
        <v>9523.8461538461561</v>
      </c>
      <c r="G84" s="151">
        <v>4443.4313846153855</v>
      </c>
      <c r="H84" s="151">
        <v>4465.6485415384623</v>
      </c>
      <c r="I84" s="151">
        <v>4487.9767842461542</v>
      </c>
      <c r="J84" s="151">
        <v>4510.4166681673842</v>
      </c>
      <c r="K84" s="148">
        <v>4532.9687515082205</v>
      </c>
      <c r="L84" s="148">
        <v>4555.633595265761</v>
      </c>
      <c r="M84" s="148">
        <v>4578.4117632420894</v>
      </c>
      <c r="N84" s="148">
        <v>4601.3038220582994</v>
      </c>
      <c r="O84" s="148">
        <v>4624.3103411685906</v>
      </c>
      <c r="P84" s="148">
        <v>4647.4318928744324</v>
      </c>
      <c r="Q84" s="148">
        <v>4670.6690523388052</v>
      </c>
      <c r="R84" s="148">
        <v>4694.0223976004991</v>
      </c>
      <c r="S84" s="148">
        <v>4717.4925095885001</v>
      </c>
      <c r="T84" s="148">
        <v>4741.0799721364428</v>
      </c>
      <c r="U84" s="148">
        <v>4764.7853719971245</v>
      </c>
      <c r="V84" s="148">
        <v>4788.6092988571099</v>
      </c>
      <c r="W84" s="148">
        <v>4812.5523453513943</v>
      </c>
    </row>
    <row r="85" spans="1:24" x14ac:dyDescent="0.25">
      <c r="A85" s="17" t="str">
        <v>International outgoing fixed telephone traffic</v>
      </c>
      <c r="B85" s="92"/>
      <c r="D85" s="31">
        <v>23029.956923076927</v>
      </c>
      <c r="E85" s="31">
        <v>6876.4381538461557</v>
      </c>
      <c r="F85" s="31">
        <v>7533.7384615384635</v>
      </c>
      <c r="G85" s="31">
        <v>6393.4621538461552</v>
      </c>
      <c r="H85" s="31">
        <v>6425.4294646153858</v>
      </c>
      <c r="I85" s="31">
        <v>6457.5566119384621</v>
      </c>
      <c r="J85" s="31">
        <v>6489.8443949981529</v>
      </c>
      <c r="K85" s="31">
        <v>6522.2936169731438</v>
      </c>
      <c r="L85" s="31">
        <v>6554.9050850580088</v>
      </c>
      <c r="M85" s="31">
        <v>6587.6796104832983</v>
      </c>
      <c r="N85" s="31">
        <v>6620.6180085357128</v>
      </c>
      <c r="O85" s="31">
        <v>6653.7210985783913</v>
      </c>
      <c r="P85" s="31">
        <v>6686.9897040712822</v>
      </c>
      <c r="Q85" s="31">
        <v>6720.4246525916378</v>
      </c>
      <c r="R85" s="31">
        <v>6754.0267758545961</v>
      </c>
      <c r="S85" s="31">
        <v>6787.7969097338673</v>
      </c>
      <c r="T85" s="31">
        <v>6821.7358942825358</v>
      </c>
      <c r="U85" s="31">
        <v>6855.8445737539487</v>
      </c>
      <c r="V85" s="31">
        <v>6890.1237966227181</v>
      </c>
      <c r="W85" s="31">
        <v>6924.5744156058308</v>
      </c>
    </row>
    <row r="86" spans="1:24" x14ac:dyDescent="0.25">
      <c r="A86" s="26"/>
      <c r="B86" s="92"/>
      <c r="X86" s="20" t="s">
        <v>97</v>
      </c>
    </row>
    <row r="87" spans="1:24" x14ac:dyDescent="0.25">
      <c r="A87" s="17" t="s">
        <v>98</v>
      </c>
      <c r="B87" s="92"/>
      <c r="X87" s="20"/>
    </row>
    <row r="88" spans="1:24" x14ac:dyDescent="0.25">
      <c r="A88" s="26"/>
      <c r="B88" s="92"/>
      <c r="X88" s="20"/>
    </row>
    <row r="89" spans="1:24" x14ac:dyDescent="0.25">
      <c r="A89" s="26"/>
      <c r="B89" s="92"/>
      <c r="D89" s="34" cm="1">
        <f t="array" ref="D89:W89">years</f>
        <v>2018</v>
      </c>
      <c r="E89" s="34">
        <v>2019</v>
      </c>
      <c r="F89" s="34">
        <v>2020</v>
      </c>
      <c r="G89" s="34">
        <v>2021</v>
      </c>
      <c r="H89" s="34">
        <v>2022</v>
      </c>
      <c r="I89" s="34">
        <v>2023</v>
      </c>
      <c r="J89" s="34">
        <v>2024</v>
      </c>
      <c r="K89" s="34">
        <v>2025</v>
      </c>
      <c r="L89" s="34">
        <v>2026</v>
      </c>
      <c r="M89" s="34">
        <v>2027</v>
      </c>
      <c r="N89" s="34">
        <v>2028</v>
      </c>
      <c r="O89" s="34">
        <v>2029</v>
      </c>
      <c r="P89" s="34">
        <v>2030</v>
      </c>
      <c r="Q89" s="34">
        <v>2031</v>
      </c>
      <c r="R89" s="34">
        <v>2032</v>
      </c>
      <c r="S89" s="34">
        <v>2033</v>
      </c>
      <c r="T89" s="34">
        <v>2034</v>
      </c>
      <c r="U89" s="34">
        <v>2035</v>
      </c>
      <c r="V89" s="34">
        <v>2036</v>
      </c>
      <c r="W89" s="34">
        <v>2037</v>
      </c>
      <c r="X89" s="20"/>
    </row>
    <row r="90" spans="1:24" x14ac:dyDescent="0.25">
      <c r="A90" s="17" t="str" cm="1">
        <f t="array" ref="A90:A96">fixed_services</f>
        <v>On-net fixed to fixed traffic</v>
      </c>
      <c r="B90" s="92"/>
      <c r="D90" s="83">
        <f t="shared" ref="D90:W90" si="0">D79*onnet_factor</f>
        <v>523744.09846153855</v>
      </c>
      <c r="E90" s="83">
        <f t="shared" si="0"/>
        <v>527942.84307692316</v>
      </c>
      <c r="F90" s="83">
        <f t="shared" si="0"/>
        <v>491633.72307692317</v>
      </c>
      <c r="G90" s="83">
        <f t="shared" si="0"/>
        <v>464389.51384615392</v>
      </c>
      <c r="H90" s="83">
        <f t="shared" si="0"/>
        <v>466711.46141538466</v>
      </c>
      <c r="I90" s="83">
        <f t="shared" si="0"/>
        <v>469045.01872246148</v>
      </c>
      <c r="J90" s="83">
        <f t="shared" si="0"/>
        <v>471390.24381607381</v>
      </c>
      <c r="K90" s="83">
        <f t="shared" si="0"/>
        <v>473747.19503515406</v>
      </c>
      <c r="L90" s="83">
        <f t="shared" si="0"/>
        <v>476115.9310103298</v>
      </c>
      <c r="M90" s="83">
        <f t="shared" si="0"/>
        <v>478496.51066538139</v>
      </c>
      <c r="N90" s="83">
        <f t="shared" si="0"/>
        <v>480888.9932187082</v>
      </c>
      <c r="O90" s="83">
        <f t="shared" si="0"/>
        <v>483293.43818480172</v>
      </c>
      <c r="P90" s="83">
        <f t="shared" si="0"/>
        <v>485709.90537572571</v>
      </c>
      <c r="Q90" s="83">
        <f t="shared" si="0"/>
        <v>488138.45490260428</v>
      </c>
      <c r="R90" s="83">
        <f t="shared" si="0"/>
        <v>490579.14717711724</v>
      </c>
      <c r="S90" s="83">
        <f t="shared" si="0"/>
        <v>493032.04291300278</v>
      </c>
      <c r="T90" s="83">
        <f t="shared" si="0"/>
        <v>495497.20312756777</v>
      </c>
      <c r="U90" s="83">
        <f t="shared" si="0"/>
        <v>497974.68914320559</v>
      </c>
      <c r="V90" s="83">
        <f t="shared" si="0"/>
        <v>500464.56258892157</v>
      </c>
      <c r="W90" s="83">
        <f t="shared" si="0"/>
        <v>502966.88540186617</v>
      </c>
      <c r="X90" s="20"/>
    </row>
    <row r="91" spans="1:24" x14ac:dyDescent="0.25">
      <c r="A91" s="17" t="str">
        <v>Incoming fixed to fixed traffic</v>
      </c>
      <c r="B91" s="92"/>
      <c r="D91" s="83">
        <f t="shared" ref="D91:W91" si="1">D80</f>
        <v>174581.3661538462</v>
      </c>
      <c r="E91" s="83">
        <f t="shared" si="1"/>
        <v>175980.94769230773</v>
      </c>
      <c r="F91" s="83">
        <f t="shared" si="1"/>
        <v>163877.90769230772</v>
      </c>
      <c r="G91" s="83">
        <f t="shared" si="1"/>
        <v>154796.50461538465</v>
      </c>
      <c r="H91" s="83">
        <f t="shared" si="1"/>
        <v>155570.48713846155</v>
      </c>
      <c r="I91" s="83">
        <f t="shared" si="1"/>
        <v>156348.33957415386</v>
      </c>
      <c r="J91" s="83">
        <f t="shared" si="1"/>
        <v>157130.0812720246</v>
      </c>
      <c r="K91" s="83">
        <f t="shared" si="1"/>
        <v>157915.73167838471</v>
      </c>
      <c r="L91" s="83">
        <f t="shared" si="1"/>
        <v>158705.3103367766</v>
      </c>
      <c r="M91" s="83">
        <f t="shared" si="1"/>
        <v>159498.83688846047</v>
      </c>
      <c r="N91" s="83">
        <f t="shared" si="1"/>
        <v>160296.33107290274</v>
      </c>
      <c r="O91" s="83">
        <f t="shared" si="1"/>
        <v>161097.81272826725</v>
      </c>
      <c r="P91" s="83">
        <f t="shared" si="1"/>
        <v>161903.30179190857</v>
      </c>
      <c r="Q91" s="83">
        <f t="shared" si="1"/>
        <v>162712.81830086809</v>
      </c>
      <c r="R91" s="83">
        <f t="shared" si="1"/>
        <v>163526.38239237241</v>
      </c>
      <c r="S91" s="83">
        <f t="shared" si="1"/>
        <v>164344.01430433424</v>
      </c>
      <c r="T91" s="83">
        <f t="shared" si="1"/>
        <v>165165.73437585589</v>
      </c>
      <c r="U91" s="83">
        <f t="shared" si="1"/>
        <v>165991.56304773514</v>
      </c>
      <c r="V91" s="83">
        <f t="shared" si="1"/>
        <v>166821.52086297379</v>
      </c>
      <c r="W91" s="83">
        <f t="shared" si="1"/>
        <v>167655.62846728868</v>
      </c>
      <c r="X91" s="20"/>
    </row>
    <row r="92" spans="1:24" x14ac:dyDescent="0.25">
      <c r="A92" s="17" t="str">
        <v>Off-net fixed to fixed traffic</v>
      </c>
      <c r="B92" s="92"/>
      <c r="D92" s="83">
        <f t="shared" ref="D92:W92" si="2">D81</f>
        <v>174581.3661538462</v>
      </c>
      <c r="E92" s="83">
        <f t="shared" si="2"/>
        <v>175980.94769230773</v>
      </c>
      <c r="F92" s="83">
        <f t="shared" si="2"/>
        <v>163877.90769230772</v>
      </c>
      <c r="G92" s="83">
        <f t="shared" si="2"/>
        <v>154796.50461538465</v>
      </c>
      <c r="H92" s="83">
        <f t="shared" si="2"/>
        <v>155570.48713846155</v>
      </c>
      <c r="I92" s="83">
        <f t="shared" si="2"/>
        <v>156348.33957415386</v>
      </c>
      <c r="J92" s="83">
        <f t="shared" si="2"/>
        <v>157130.0812720246</v>
      </c>
      <c r="K92" s="83">
        <f t="shared" si="2"/>
        <v>157915.73167838471</v>
      </c>
      <c r="L92" s="83">
        <f t="shared" si="2"/>
        <v>158705.3103367766</v>
      </c>
      <c r="M92" s="83">
        <f t="shared" si="2"/>
        <v>159498.83688846047</v>
      </c>
      <c r="N92" s="83">
        <f t="shared" si="2"/>
        <v>160296.33107290274</v>
      </c>
      <c r="O92" s="83">
        <f t="shared" si="2"/>
        <v>161097.81272826725</v>
      </c>
      <c r="P92" s="83">
        <f t="shared" si="2"/>
        <v>161903.30179190857</v>
      </c>
      <c r="Q92" s="83">
        <f t="shared" si="2"/>
        <v>162712.81830086809</v>
      </c>
      <c r="R92" s="83">
        <f t="shared" si="2"/>
        <v>163526.38239237241</v>
      </c>
      <c r="S92" s="83">
        <f t="shared" si="2"/>
        <v>164344.01430433424</v>
      </c>
      <c r="T92" s="83">
        <f t="shared" si="2"/>
        <v>165165.73437585589</v>
      </c>
      <c r="U92" s="83">
        <f t="shared" si="2"/>
        <v>165991.56304773514</v>
      </c>
      <c r="V92" s="83">
        <f t="shared" si="2"/>
        <v>166821.52086297379</v>
      </c>
      <c r="W92" s="83">
        <f t="shared" si="2"/>
        <v>167655.62846728868</v>
      </c>
      <c r="X92" s="20"/>
    </row>
    <row r="93" spans="1:24" x14ac:dyDescent="0.25">
      <c r="A93" s="17" t="str">
        <v>Fixed to Mobile Telephone traffic</v>
      </c>
      <c r="B93" s="92"/>
      <c r="D93" s="83">
        <f t="shared" ref="D93:W93" si="3">D82</f>
        <v>526245.13846153859</v>
      </c>
      <c r="E93" s="83">
        <f t="shared" si="3"/>
        <v>512470.64615384629</v>
      </c>
      <c r="F93" s="83">
        <f t="shared" si="3"/>
        <v>593034.46153846162</v>
      </c>
      <c r="G93" s="83">
        <f t="shared" si="3"/>
        <v>593339.07692307699</v>
      </c>
      <c r="H93" s="83">
        <f t="shared" si="3"/>
        <v>596305.77230769233</v>
      </c>
      <c r="I93" s="83">
        <f t="shared" si="3"/>
        <v>599287.3011692306</v>
      </c>
      <c r="J93" s="83">
        <f t="shared" si="3"/>
        <v>602283.73767507682</v>
      </c>
      <c r="K93" s="83">
        <f t="shared" si="3"/>
        <v>605295.15636345209</v>
      </c>
      <c r="L93" s="83">
        <f t="shared" si="3"/>
        <v>608321.63214526919</v>
      </c>
      <c r="M93" s="83">
        <f t="shared" si="3"/>
        <v>611363.24030599545</v>
      </c>
      <c r="N93" s="83">
        <f t="shared" si="3"/>
        <v>614420.05650752538</v>
      </c>
      <c r="O93" s="83">
        <f t="shared" si="3"/>
        <v>617492.15679006302</v>
      </c>
      <c r="P93" s="83">
        <f t="shared" si="3"/>
        <v>620579.61757401319</v>
      </c>
      <c r="Q93" s="83">
        <f t="shared" si="3"/>
        <v>623682.51566188317</v>
      </c>
      <c r="R93" s="83">
        <f t="shared" si="3"/>
        <v>626800.92824019259</v>
      </c>
      <c r="S93" s="83">
        <f t="shared" si="3"/>
        <v>629934.93288139335</v>
      </c>
      <c r="T93" s="83">
        <f t="shared" si="3"/>
        <v>633084.60754580027</v>
      </c>
      <c r="U93" s="83">
        <f t="shared" si="3"/>
        <v>636250.03058352903</v>
      </c>
      <c r="V93" s="83">
        <f t="shared" si="3"/>
        <v>639431.28073644673</v>
      </c>
      <c r="W93" s="83">
        <f t="shared" si="3"/>
        <v>642628.43714012892</v>
      </c>
      <c r="X93" s="20"/>
    </row>
    <row r="94" spans="1:24" x14ac:dyDescent="0.25">
      <c r="A94" s="17" t="str">
        <v>Outgoing mobile traffic to fixed networks</v>
      </c>
      <c r="B94" s="92"/>
      <c r="D94" s="83">
        <f t="shared" ref="D94:W94" si="4">D83</f>
        <v>152921.35384615388</v>
      </c>
      <c r="E94" s="83">
        <f t="shared" si="4"/>
        <v>212224.49230769236</v>
      </c>
      <c r="F94" s="83">
        <f t="shared" si="4"/>
        <v>271898.76923076931</v>
      </c>
      <c r="G94" s="83">
        <f t="shared" si="4"/>
        <v>270199.13846153853</v>
      </c>
      <c r="H94" s="83">
        <f t="shared" si="4"/>
        <v>271550.13415384619</v>
      </c>
      <c r="I94" s="83">
        <f t="shared" si="4"/>
        <v>272907.88482461544</v>
      </c>
      <c r="J94" s="83">
        <f t="shared" si="4"/>
        <v>274272.42424873845</v>
      </c>
      <c r="K94" s="83">
        <f t="shared" si="4"/>
        <v>275643.78636998212</v>
      </c>
      <c r="L94" s="83">
        <f t="shared" si="4"/>
        <v>277022.00530183199</v>
      </c>
      <c r="M94" s="83">
        <f t="shared" si="4"/>
        <v>278407.1153283412</v>
      </c>
      <c r="N94" s="83">
        <f t="shared" si="4"/>
        <v>279799.15090498287</v>
      </c>
      <c r="O94" s="83">
        <f t="shared" si="4"/>
        <v>281198.14665950771</v>
      </c>
      <c r="P94" s="83">
        <f t="shared" si="4"/>
        <v>282604.13739280519</v>
      </c>
      <c r="Q94" s="83">
        <f t="shared" si="4"/>
        <v>284017.15807976917</v>
      </c>
      <c r="R94" s="83">
        <f t="shared" si="4"/>
        <v>285437.24387016799</v>
      </c>
      <c r="S94" s="83">
        <f t="shared" si="4"/>
        <v>286864.43008951884</v>
      </c>
      <c r="T94" s="83">
        <f t="shared" si="4"/>
        <v>288298.75223996636</v>
      </c>
      <c r="U94" s="83">
        <f t="shared" si="4"/>
        <v>289740.24600116618</v>
      </c>
      <c r="V94" s="83">
        <f t="shared" si="4"/>
        <v>291188.94723117194</v>
      </c>
      <c r="W94" s="83">
        <f t="shared" si="4"/>
        <v>292644.89196732774</v>
      </c>
      <c r="X94" s="20"/>
    </row>
    <row r="95" spans="1:24" x14ac:dyDescent="0.25">
      <c r="A95" s="17" t="str">
        <v xml:space="preserve">International incoming fixed telephone traffic </v>
      </c>
      <c r="B95" s="92"/>
      <c r="D95" s="83">
        <f t="shared" ref="D95:W95" si="5">D84</f>
        <v>23309.93538461539</v>
      </c>
      <c r="E95" s="83">
        <f t="shared" si="5"/>
        <v>13620.750769230772</v>
      </c>
      <c r="F95" s="83">
        <f t="shared" si="5"/>
        <v>9523.8461538461561</v>
      </c>
      <c r="G95" s="83">
        <f t="shared" si="5"/>
        <v>4443.4313846153855</v>
      </c>
      <c r="H95" s="83">
        <f t="shared" si="5"/>
        <v>4465.6485415384623</v>
      </c>
      <c r="I95" s="83">
        <f t="shared" si="5"/>
        <v>4487.9767842461542</v>
      </c>
      <c r="J95" s="83">
        <f t="shared" si="5"/>
        <v>4510.4166681673842</v>
      </c>
      <c r="K95" s="83">
        <f t="shared" si="5"/>
        <v>4532.9687515082205</v>
      </c>
      <c r="L95" s="83">
        <f t="shared" si="5"/>
        <v>4555.633595265761</v>
      </c>
      <c r="M95" s="83">
        <f t="shared" si="5"/>
        <v>4578.4117632420894</v>
      </c>
      <c r="N95" s="83">
        <f t="shared" si="5"/>
        <v>4601.3038220582994</v>
      </c>
      <c r="O95" s="83">
        <f t="shared" si="5"/>
        <v>4624.3103411685906</v>
      </c>
      <c r="P95" s="83">
        <f t="shared" si="5"/>
        <v>4647.4318928744324</v>
      </c>
      <c r="Q95" s="83">
        <f t="shared" si="5"/>
        <v>4670.6690523388052</v>
      </c>
      <c r="R95" s="83">
        <f t="shared" si="5"/>
        <v>4694.0223976004991</v>
      </c>
      <c r="S95" s="83">
        <f t="shared" si="5"/>
        <v>4717.4925095885001</v>
      </c>
      <c r="T95" s="83">
        <f t="shared" si="5"/>
        <v>4741.0799721364428</v>
      </c>
      <c r="U95" s="83">
        <f t="shared" si="5"/>
        <v>4764.7853719971245</v>
      </c>
      <c r="V95" s="83">
        <f t="shared" si="5"/>
        <v>4788.6092988571099</v>
      </c>
      <c r="W95" s="83">
        <f t="shared" si="5"/>
        <v>4812.5523453513943</v>
      </c>
      <c r="X95" s="20"/>
    </row>
    <row r="96" spans="1:24" x14ac:dyDescent="0.25">
      <c r="A96" s="17" t="str">
        <v>International outgoing fixed telephone traffic</v>
      </c>
      <c r="B96" s="92"/>
      <c r="D96" s="83">
        <f t="shared" ref="D96:W96" si="6">D85</f>
        <v>23029.956923076927</v>
      </c>
      <c r="E96" s="83">
        <f t="shared" si="6"/>
        <v>6876.4381538461557</v>
      </c>
      <c r="F96" s="83">
        <f t="shared" si="6"/>
        <v>7533.7384615384635</v>
      </c>
      <c r="G96" s="83">
        <f t="shared" si="6"/>
        <v>6393.4621538461552</v>
      </c>
      <c r="H96" s="83">
        <f t="shared" si="6"/>
        <v>6425.4294646153858</v>
      </c>
      <c r="I96" s="83">
        <f t="shared" si="6"/>
        <v>6457.5566119384621</v>
      </c>
      <c r="J96" s="83">
        <f t="shared" si="6"/>
        <v>6489.8443949981529</v>
      </c>
      <c r="K96" s="83">
        <f t="shared" si="6"/>
        <v>6522.2936169731438</v>
      </c>
      <c r="L96" s="83">
        <f t="shared" si="6"/>
        <v>6554.9050850580088</v>
      </c>
      <c r="M96" s="83">
        <f t="shared" si="6"/>
        <v>6587.6796104832983</v>
      </c>
      <c r="N96" s="83">
        <f t="shared" si="6"/>
        <v>6620.6180085357128</v>
      </c>
      <c r="O96" s="83">
        <f t="shared" si="6"/>
        <v>6653.7210985783913</v>
      </c>
      <c r="P96" s="83">
        <f t="shared" si="6"/>
        <v>6686.9897040712822</v>
      </c>
      <c r="Q96" s="83">
        <f t="shared" si="6"/>
        <v>6720.4246525916378</v>
      </c>
      <c r="R96" s="83">
        <f t="shared" si="6"/>
        <v>6754.0267758545961</v>
      </c>
      <c r="S96" s="83">
        <f t="shared" si="6"/>
        <v>6787.7969097338673</v>
      </c>
      <c r="T96" s="83">
        <f t="shared" si="6"/>
        <v>6821.7358942825358</v>
      </c>
      <c r="U96" s="83">
        <f t="shared" si="6"/>
        <v>6855.8445737539487</v>
      </c>
      <c r="V96" s="83">
        <f t="shared" si="6"/>
        <v>6890.1237966227181</v>
      </c>
      <c r="W96" s="83">
        <f t="shared" si="6"/>
        <v>6924.5744156058308</v>
      </c>
    </row>
    <row r="97" spans="1:46" x14ac:dyDescent="0.25">
      <c r="A97" s="26"/>
      <c r="B97" s="92"/>
      <c r="X97" s="20" t="s">
        <v>99</v>
      </c>
    </row>
    <row r="98" spans="1:46" x14ac:dyDescent="0.25">
      <c r="B98" s="23"/>
    </row>
    <row r="99" spans="1:46" s="55" customFormat="1" x14ac:dyDescent="0.25">
      <c r="A99" s="54" t="s">
        <v>100</v>
      </c>
      <c r="B99" s="162"/>
    </row>
    <row r="100" spans="1:46" x14ac:dyDescent="0.25">
      <c r="B100" s="23"/>
    </row>
    <row r="101" spans="1:46" x14ac:dyDescent="0.25">
      <c r="A101" s="17" t="s">
        <v>101</v>
      </c>
      <c r="B101" s="23"/>
      <c r="D101" s="54" t="s">
        <v>102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Z101" s="54" t="s">
        <v>92</v>
      </c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</row>
    <row r="102" spans="1:46" x14ac:dyDescent="0.25">
      <c r="A102" s="1"/>
      <c r="B102" s="23"/>
      <c r="C102"/>
      <c r="D102" s="34" cm="1">
        <f t="array" ref="D102:W102">years</f>
        <v>2018</v>
      </c>
      <c r="E102" s="34">
        <v>2019</v>
      </c>
      <c r="F102" s="34">
        <v>2020</v>
      </c>
      <c r="G102" s="34">
        <v>2021</v>
      </c>
      <c r="H102" s="34">
        <v>2022</v>
      </c>
      <c r="I102" s="34">
        <v>2023</v>
      </c>
      <c r="J102" s="34">
        <v>2024</v>
      </c>
      <c r="K102" s="34">
        <v>2025</v>
      </c>
      <c r="L102" s="34">
        <v>2026</v>
      </c>
      <c r="M102" s="34">
        <v>2027</v>
      </c>
      <c r="N102" s="34">
        <v>2028</v>
      </c>
      <c r="O102" s="34">
        <v>2029</v>
      </c>
      <c r="P102" s="34">
        <v>2030</v>
      </c>
      <c r="Q102" s="34">
        <v>2031</v>
      </c>
      <c r="R102" s="34">
        <v>2032</v>
      </c>
      <c r="S102" s="34">
        <v>2033</v>
      </c>
      <c r="T102" s="34">
        <v>2034</v>
      </c>
      <c r="U102" s="34">
        <v>2035</v>
      </c>
      <c r="V102" s="34">
        <v>2036</v>
      </c>
      <c r="W102" s="34">
        <v>2037</v>
      </c>
      <c r="X102"/>
      <c r="Y102"/>
      <c r="Z102" s="58" cm="1">
        <f t="array" ref="Z102:AS102">years</f>
        <v>2018</v>
      </c>
      <c r="AA102" s="58">
        <v>2019</v>
      </c>
      <c r="AB102" s="58">
        <v>2020</v>
      </c>
      <c r="AC102" s="58">
        <v>2021</v>
      </c>
      <c r="AD102" s="58">
        <v>2022</v>
      </c>
      <c r="AE102" s="58">
        <v>2023</v>
      </c>
      <c r="AF102" s="58">
        <v>2024</v>
      </c>
      <c r="AG102" s="58">
        <v>2025</v>
      </c>
      <c r="AH102" s="58">
        <v>2026</v>
      </c>
      <c r="AI102" s="58">
        <v>2027</v>
      </c>
      <c r="AJ102" s="58">
        <v>2028</v>
      </c>
      <c r="AK102" s="58">
        <v>2029</v>
      </c>
      <c r="AL102" s="58">
        <v>2030</v>
      </c>
      <c r="AM102" s="58">
        <v>2031</v>
      </c>
      <c r="AN102" s="58">
        <v>2032</v>
      </c>
      <c r="AO102" s="58">
        <v>2033</v>
      </c>
      <c r="AP102" s="58">
        <v>2034</v>
      </c>
      <c r="AQ102" s="58">
        <v>2035</v>
      </c>
      <c r="AR102" s="58">
        <v>2036</v>
      </c>
      <c r="AS102" s="58">
        <v>2037</v>
      </c>
    </row>
    <row r="103" spans="1:46" x14ac:dyDescent="0.25">
      <c r="A103" s="17" t="str" cm="1">
        <f t="array" ref="A103:A109">fixed_services</f>
        <v>On-net fixed to fixed traffic</v>
      </c>
      <c r="B103" s="23"/>
      <c r="D103" s="154" cm="1">
        <f t="array" ref="D103:W109">(fixed_minutes_busy_hour/mins_call)</f>
        <v>65468.012307692319</v>
      </c>
      <c r="E103" s="154">
        <v>65992.855384615395</v>
      </c>
      <c r="F103" s="154">
        <v>61454.215384615396</v>
      </c>
      <c r="G103" s="154">
        <v>58048.68923076924</v>
      </c>
      <c r="H103" s="154">
        <v>58338.932676923083</v>
      </c>
      <c r="I103" s="154">
        <v>58630.627340307685</v>
      </c>
      <c r="J103" s="154">
        <v>58923.780477009226</v>
      </c>
      <c r="K103" s="154">
        <v>59218.399379394257</v>
      </c>
      <c r="L103" s="154">
        <v>59514.491376291226</v>
      </c>
      <c r="M103" s="154">
        <v>59812.063833172673</v>
      </c>
      <c r="N103" s="154">
        <v>60111.124152338525</v>
      </c>
      <c r="O103" s="154">
        <v>60411.679773100215</v>
      </c>
      <c r="P103" s="154">
        <v>60713.738171965713</v>
      </c>
      <c r="Q103" s="154">
        <v>61017.306862825535</v>
      </c>
      <c r="R103" s="154">
        <v>61322.393397139655</v>
      </c>
      <c r="S103" s="154">
        <v>61629.005364125347</v>
      </c>
      <c r="T103" s="154">
        <v>61937.150390945972</v>
      </c>
      <c r="U103" s="154">
        <v>62246.836142900698</v>
      </c>
      <c r="V103" s="154">
        <v>62558.070323615197</v>
      </c>
      <c r="W103" s="154">
        <v>62870.860675233271</v>
      </c>
    </row>
    <row r="104" spans="1:46" x14ac:dyDescent="0.25">
      <c r="A104" s="17" t="str">
        <v>Incoming fixed to fixed traffic</v>
      </c>
      <c r="B104" s="23"/>
      <c r="D104" s="155">
        <v>43645.341538461551</v>
      </c>
      <c r="E104" s="155">
        <v>43995.236923076933</v>
      </c>
      <c r="F104" s="155">
        <v>40969.476923076931</v>
      </c>
      <c r="G104" s="155">
        <v>38699.126153846162</v>
      </c>
      <c r="H104" s="155">
        <v>38892.621784615389</v>
      </c>
      <c r="I104" s="155">
        <v>39087.084893538464</v>
      </c>
      <c r="J104" s="155">
        <v>39282.520318006151</v>
      </c>
      <c r="K104" s="155">
        <v>39478.932919596176</v>
      </c>
      <c r="L104" s="155">
        <v>39676.32758419415</v>
      </c>
      <c r="M104" s="155">
        <v>39874.709222115118</v>
      </c>
      <c r="N104" s="155">
        <v>40074.082768225686</v>
      </c>
      <c r="O104" s="155">
        <v>40274.453182066813</v>
      </c>
      <c r="P104" s="155">
        <v>40475.825447977142</v>
      </c>
      <c r="Q104" s="155">
        <v>40678.204575217023</v>
      </c>
      <c r="R104" s="155">
        <v>40881.595598093103</v>
      </c>
      <c r="S104" s="155">
        <v>41086.00357608356</v>
      </c>
      <c r="T104" s="155">
        <v>41291.433593963971</v>
      </c>
      <c r="U104" s="155">
        <v>41497.890761933784</v>
      </c>
      <c r="V104" s="155">
        <v>41705.380215743447</v>
      </c>
      <c r="W104" s="155">
        <v>41913.907116822171</v>
      </c>
    </row>
    <row r="105" spans="1:46" x14ac:dyDescent="0.25">
      <c r="A105" s="17" t="str">
        <v>Off-net fixed to fixed traffic</v>
      </c>
      <c r="B105" s="23"/>
      <c r="D105" s="148">
        <v>43645.341538461551</v>
      </c>
      <c r="E105" s="148">
        <v>43995.236923076933</v>
      </c>
      <c r="F105" s="148">
        <v>40969.476923076931</v>
      </c>
      <c r="G105" s="148">
        <v>38699.126153846162</v>
      </c>
      <c r="H105" s="148">
        <v>38892.621784615389</v>
      </c>
      <c r="I105" s="148">
        <v>39087.084893538464</v>
      </c>
      <c r="J105" s="148">
        <v>39282.520318006151</v>
      </c>
      <c r="K105" s="148">
        <v>39478.932919596176</v>
      </c>
      <c r="L105" s="148">
        <v>39676.32758419415</v>
      </c>
      <c r="M105" s="148">
        <v>39874.709222115118</v>
      </c>
      <c r="N105" s="148">
        <v>40074.082768225686</v>
      </c>
      <c r="O105" s="148">
        <v>40274.453182066813</v>
      </c>
      <c r="P105" s="148">
        <v>40475.825447977142</v>
      </c>
      <c r="Q105" s="148">
        <v>40678.204575217023</v>
      </c>
      <c r="R105" s="148">
        <v>40881.595598093103</v>
      </c>
      <c r="S105" s="148">
        <v>41086.00357608356</v>
      </c>
      <c r="T105" s="148">
        <v>41291.433593963971</v>
      </c>
      <c r="U105" s="148">
        <v>41497.890761933784</v>
      </c>
      <c r="V105" s="148">
        <v>41705.380215743447</v>
      </c>
      <c r="W105" s="148">
        <v>41913.907116822171</v>
      </c>
    </row>
    <row r="106" spans="1:46" x14ac:dyDescent="0.25">
      <c r="A106" s="17" t="str">
        <v>Fixed to Mobile Telephone traffic</v>
      </c>
      <c r="B106" s="23"/>
      <c r="D106" s="148">
        <v>131561.28461538465</v>
      </c>
      <c r="E106" s="148">
        <v>128117.66153846157</v>
      </c>
      <c r="F106" s="148">
        <v>148258.6153846154</v>
      </c>
      <c r="G106" s="148">
        <v>148334.76923076925</v>
      </c>
      <c r="H106" s="148">
        <v>149076.44307692308</v>
      </c>
      <c r="I106" s="148">
        <v>149821.82529230765</v>
      </c>
      <c r="J106" s="148">
        <v>150570.9344187692</v>
      </c>
      <c r="K106" s="148">
        <v>151323.78909086302</v>
      </c>
      <c r="L106" s="148">
        <v>152080.4080363173</v>
      </c>
      <c r="M106" s="148">
        <v>152840.81007649886</v>
      </c>
      <c r="N106" s="148">
        <v>153605.01412688135</v>
      </c>
      <c r="O106" s="148">
        <v>154373.03919751575</v>
      </c>
      <c r="P106" s="148">
        <v>155144.9043935033</v>
      </c>
      <c r="Q106" s="148">
        <v>155920.62891547079</v>
      </c>
      <c r="R106" s="148">
        <v>156700.23206004815</v>
      </c>
      <c r="S106" s="148">
        <v>157483.73322034834</v>
      </c>
      <c r="T106" s="148">
        <v>158271.15188645007</v>
      </c>
      <c r="U106" s="148">
        <v>159062.50764588226</v>
      </c>
      <c r="V106" s="148">
        <v>159857.82018411168</v>
      </c>
      <c r="W106" s="148">
        <v>160657.10928503223</v>
      </c>
    </row>
    <row r="107" spans="1:46" x14ac:dyDescent="0.25">
      <c r="A107" s="17" t="str">
        <v>Outgoing mobile traffic to fixed networks</v>
      </c>
      <c r="B107" s="23"/>
      <c r="D107" s="148">
        <v>38230.338461538471</v>
      </c>
      <c r="E107" s="148">
        <v>53056.12307692309</v>
      </c>
      <c r="F107" s="148">
        <v>67974.692307692327</v>
      </c>
      <c r="G107" s="148">
        <v>67549.784615384633</v>
      </c>
      <c r="H107" s="148">
        <v>67887.533538461546</v>
      </c>
      <c r="I107" s="148">
        <v>68226.971206153859</v>
      </c>
      <c r="J107" s="148">
        <v>68568.106062184612</v>
      </c>
      <c r="K107" s="148">
        <v>68910.946592495529</v>
      </c>
      <c r="L107" s="148">
        <v>69255.501325457997</v>
      </c>
      <c r="M107" s="148">
        <v>69601.7788320853</v>
      </c>
      <c r="N107" s="148">
        <v>69949.787726245719</v>
      </c>
      <c r="O107" s="148">
        <v>70299.536664876927</v>
      </c>
      <c r="P107" s="148">
        <v>70651.034348201298</v>
      </c>
      <c r="Q107" s="148">
        <v>71004.289519942293</v>
      </c>
      <c r="R107" s="148">
        <v>71359.310967541998</v>
      </c>
      <c r="S107" s="148">
        <v>71716.107522379709</v>
      </c>
      <c r="T107" s="148">
        <v>72074.688059991589</v>
      </c>
      <c r="U107" s="148">
        <v>72435.061500291544</v>
      </c>
      <c r="V107" s="148">
        <v>72797.236807792986</v>
      </c>
      <c r="W107" s="148">
        <v>73161.222991831935</v>
      </c>
    </row>
    <row r="108" spans="1:46" x14ac:dyDescent="0.25">
      <c r="A108" s="17" t="str">
        <v xml:space="preserve">International incoming fixed telephone traffic </v>
      </c>
      <c r="B108" s="23"/>
      <c r="D108" s="148">
        <v>5827.4838461538475</v>
      </c>
      <c r="E108" s="148">
        <v>3405.1876923076929</v>
      </c>
      <c r="F108" s="148">
        <v>2380.961538461539</v>
      </c>
      <c r="G108" s="148">
        <v>1110.8578461538464</v>
      </c>
      <c r="H108" s="148">
        <v>1116.4121353846156</v>
      </c>
      <c r="I108" s="148">
        <v>1121.9941960615386</v>
      </c>
      <c r="J108" s="148">
        <v>1127.604167041846</v>
      </c>
      <c r="K108" s="148">
        <v>1133.2421878770551</v>
      </c>
      <c r="L108" s="148">
        <v>1138.9083988164402</v>
      </c>
      <c r="M108" s="148">
        <v>1144.6029408105223</v>
      </c>
      <c r="N108" s="148">
        <v>1150.3259555145748</v>
      </c>
      <c r="O108" s="148">
        <v>1156.0775852921477</v>
      </c>
      <c r="P108" s="148">
        <v>1161.8579732186081</v>
      </c>
      <c r="Q108" s="148">
        <v>1167.6672630847013</v>
      </c>
      <c r="R108" s="148">
        <v>1173.5055994001248</v>
      </c>
      <c r="S108" s="148">
        <v>1179.373127397125</v>
      </c>
      <c r="T108" s="148">
        <v>1185.2699930341107</v>
      </c>
      <c r="U108" s="148">
        <v>1191.1963429992811</v>
      </c>
      <c r="V108" s="148">
        <v>1197.1523247142775</v>
      </c>
      <c r="W108" s="148">
        <v>1203.1380863378486</v>
      </c>
    </row>
    <row r="109" spans="1:46" x14ac:dyDescent="0.25">
      <c r="A109" s="17" t="str">
        <v>International outgoing fixed telephone traffic</v>
      </c>
      <c r="B109" s="23"/>
      <c r="D109" s="148">
        <v>5757.4892307692317</v>
      </c>
      <c r="E109" s="148">
        <v>1719.1095384615389</v>
      </c>
      <c r="F109" s="148">
        <v>1883.4346153846159</v>
      </c>
      <c r="G109" s="148">
        <v>1598.3655384615388</v>
      </c>
      <c r="H109" s="148">
        <v>1606.3573661538464</v>
      </c>
      <c r="I109" s="148">
        <v>1614.3891529846155</v>
      </c>
      <c r="J109" s="148">
        <v>1622.4610987495382</v>
      </c>
      <c r="K109" s="148">
        <v>1630.5734042432859</v>
      </c>
      <c r="L109" s="148">
        <v>1638.7262712645022</v>
      </c>
      <c r="M109" s="148">
        <v>1646.9199026208246</v>
      </c>
      <c r="N109" s="148">
        <v>1655.1545021339282</v>
      </c>
      <c r="O109" s="148">
        <v>1663.4302746445978</v>
      </c>
      <c r="P109" s="148">
        <v>1671.7474260178205</v>
      </c>
      <c r="Q109" s="148">
        <v>1680.1061631479095</v>
      </c>
      <c r="R109" s="148">
        <v>1688.506693963649</v>
      </c>
      <c r="S109" s="148">
        <v>1696.9492274334668</v>
      </c>
      <c r="T109" s="148">
        <v>1705.433973570634</v>
      </c>
      <c r="U109" s="148">
        <v>1713.9611434384872</v>
      </c>
      <c r="V109" s="148">
        <v>1722.5309491556795</v>
      </c>
      <c r="W109" s="148">
        <v>1731.1436039014577</v>
      </c>
      <c r="X109" s="20" t="s">
        <v>103</v>
      </c>
    </row>
    <row r="110" spans="1:46" x14ac:dyDescent="0.25">
      <c r="B110" s="23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</row>
    <row r="111" spans="1:46" x14ac:dyDescent="0.25">
      <c r="A111" s="17" t="s">
        <v>104</v>
      </c>
      <c r="B111" s="23"/>
      <c r="D111" s="148">
        <f>SUM(D103:D109)</f>
        <v>334135.29153846164</v>
      </c>
      <c r="E111" s="148">
        <f t="shared" ref="E111:W111" si="7">SUM(E103:E109)</f>
        <v>340281.41107692319</v>
      </c>
      <c r="F111" s="148">
        <f t="shared" si="7"/>
        <v>363890.87307692313</v>
      </c>
      <c r="G111" s="148">
        <f t="shared" si="7"/>
        <v>354040.71876923088</v>
      </c>
      <c r="H111" s="148">
        <f t="shared" si="7"/>
        <v>355810.92236307694</v>
      </c>
      <c r="I111" s="148">
        <f t="shared" si="7"/>
        <v>357589.9769748922</v>
      </c>
      <c r="J111" s="148">
        <f t="shared" si="7"/>
        <v>359377.92685976671</v>
      </c>
      <c r="K111" s="148">
        <f t="shared" si="7"/>
        <v>361174.81649406551</v>
      </c>
      <c r="L111" s="148">
        <f t="shared" si="7"/>
        <v>362980.69057653577</v>
      </c>
      <c r="M111" s="148">
        <f t="shared" si="7"/>
        <v>364795.59402941843</v>
      </c>
      <c r="N111" s="148">
        <f t="shared" si="7"/>
        <v>366619.57199956547</v>
      </c>
      <c r="O111" s="148">
        <f t="shared" si="7"/>
        <v>368452.66985956323</v>
      </c>
      <c r="P111" s="148">
        <f t="shared" si="7"/>
        <v>370294.93320886098</v>
      </c>
      <c r="Q111" s="148">
        <f t="shared" si="7"/>
        <v>372146.40787490527</v>
      </c>
      <c r="R111" s="148">
        <f t="shared" si="7"/>
        <v>374007.1399142798</v>
      </c>
      <c r="S111" s="148">
        <f t="shared" si="7"/>
        <v>375877.17561385111</v>
      </c>
      <c r="T111" s="148">
        <f t="shared" si="7"/>
        <v>377756.56149192032</v>
      </c>
      <c r="U111" s="148">
        <f t="shared" si="7"/>
        <v>379645.34429937979</v>
      </c>
      <c r="V111" s="148">
        <f t="shared" si="7"/>
        <v>381543.57102087676</v>
      </c>
      <c r="W111" s="148">
        <f t="shared" si="7"/>
        <v>383451.28887598106</v>
      </c>
      <c r="X111" s="20" t="s">
        <v>105</v>
      </c>
      <c r="Z111" s="148">
        <f t="shared" ref="Z111:AS111" si="8">D111-D104-D106-D107</f>
        <v>120698.32692307695</v>
      </c>
      <c r="AA111" s="148">
        <f t="shared" si="8"/>
        <v>115112.38953846162</v>
      </c>
      <c r="AB111" s="148">
        <f t="shared" si="8"/>
        <v>106688.08846153844</v>
      </c>
      <c r="AC111" s="148">
        <f t="shared" si="8"/>
        <v>99457.038769230843</v>
      </c>
      <c r="AD111" s="148">
        <f t="shared" si="8"/>
        <v>99954.323963076924</v>
      </c>
      <c r="AE111" s="148">
        <f t="shared" si="8"/>
        <v>100454.09558289225</v>
      </c>
      <c r="AF111" s="148">
        <f t="shared" si="8"/>
        <v>100956.36606080673</v>
      </c>
      <c r="AG111" s="148">
        <f t="shared" si="8"/>
        <v>101461.14789111081</v>
      </c>
      <c r="AH111" s="148">
        <f t="shared" si="8"/>
        <v>101968.45363056634</v>
      </c>
      <c r="AI111" s="148">
        <f t="shared" si="8"/>
        <v>102478.29589871915</v>
      </c>
      <c r="AJ111" s="148">
        <f t="shared" si="8"/>
        <v>102990.68737821271</v>
      </c>
      <c r="AK111" s="148">
        <f t="shared" si="8"/>
        <v>103505.64081510376</v>
      </c>
      <c r="AL111" s="148">
        <f t="shared" si="8"/>
        <v>104023.16901917927</v>
      </c>
      <c r="AM111" s="148">
        <f t="shared" si="8"/>
        <v>104543.28486427515</v>
      </c>
      <c r="AN111" s="148">
        <f t="shared" si="8"/>
        <v>105066.00128859654</v>
      </c>
      <c r="AO111" s="148">
        <f t="shared" si="8"/>
        <v>105591.33129503949</v>
      </c>
      <c r="AP111" s="148">
        <f t="shared" si="8"/>
        <v>106119.28795151469</v>
      </c>
      <c r="AQ111" s="148">
        <f t="shared" si="8"/>
        <v>106649.88439127218</v>
      </c>
      <c r="AR111" s="148">
        <f t="shared" si="8"/>
        <v>107183.13381322865</v>
      </c>
      <c r="AS111" s="148">
        <f t="shared" si="8"/>
        <v>107719.04948229475</v>
      </c>
      <c r="AT111" s="20" t="s">
        <v>106</v>
      </c>
    </row>
    <row r="112" spans="1:46" x14ac:dyDescent="0.25">
      <c r="B112" s="23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20"/>
    </row>
    <row r="113" spans="1:46" x14ac:dyDescent="0.25">
      <c r="A113" s="17" t="s">
        <v>107</v>
      </c>
      <c r="B113" s="23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20"/>
    </row>
    <row r="114" spans="1:46" x14ac:dyDescent="0.25">
      <c r="B114" s="23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20"/>
    </row>
    <row r="115" spans="1:46" x14ac:dyDescent="0.25">
      <c r="B115" s="23"/>
      <c r="D115" s="34" cm="1">
        <f t="array" ref="D115:W115">years</f>
        <v>2018</v>
      </c>
      <c r="E115" s="34">
        <v>2019</v>
      </c>
      <c r="F115" s="34">
        <v>2020</v>
      </c>
      <c r="G115" s="34">
        <v>2021</v>
      </c>
      <c r="H115" s="34">
        <v>2022</v>
      </c>
      <c r="I115" s="34">
        <v>2023</v>
      </c>
      <c r="J115" s="34">
        <v>2024</v>
      </c>
      <c r="K115" s="34">
        <v>2025</v>
      </c>
      <c r="L115" s="34">
        <v>2026</v>
      </c>
      <c r="M115" s="34">
        <v>2027</v>
      </c>
      <c r="N115" s="34">
        <v>2028</v>
      </c>
      <c r="O115" s="34">
        <v>2029</v>
      </c>
      <c r="P115" s="34">
        <v>2030</v>
      </c>
      <c r="Q115" s="34">
        <v>2031</v>
      </c>
      <c r="R115" s="34">
        <v>2032</v>
      </c>
      <c r="S115" s="34">
        <v>2033</v>
      </c>
      <c r="T115" s="34">
        <v>2034</v>
      </c>
      <c r="U115" s="34">
        <v>2035</v>
      </c>
      <c r="V115" s="34">
        <v>2036</v>
      </c>
      <c r="W115" s="34">
        <v>2037</v>
      </c>
      <c r="X115" s="20"/>
      <c r="Z115" s="58" cm="1">
        <f t="array" ref="Z115:AS115">years</f>
        <v>2018</v>
      </c>
      <c r="AA115" s="58">
        <v>2019</v>
      </c>
      <c r="AB115" s="58">
        <v>2020</v>
      </c>
      <c r="AC115" s="58">
        <v>2021</v>
      </c>
      <c r="AD115" s="58">
        <v>2022</v>
      </c>
      <c r="AE115" s="58">
        <v>2023</v>
      </c>
      <c r="AF115" s="58">
        <v>2024</v>
      </c>
      <c r="AG115" s="58">
        <v>2025</v>
      </c>
      <c r="AH115" s="58">
        <v>2026</v>
      </c>
      <c r="AI115" s="58">
        <v>2027</v>
      </c>
      <c r="AJ115" s="58">
        <v>2028</v>
      </c>
      <c r="AK115" s="58">
        <v>2029</v>
      </c>
      <c r="AL115" s="58">
        <v>2030</v>
      </c>
      <c r="AM115" s="58">
        <v>2031</v>
      </c>
      <c r="AN115" s="58">
        <v>2032</v>
      </c>
      <c r="AO115" s="58">
        <v>2033</v>
      </c>
      <c r="AP115" s="58">
        <v>2034</v>
      </c>
      <c r="AQ115" s="58">
        <v>2035</v>
      </c>
      <c r="AR115" s="58">
        <v>2036</v>
      </c>
      <c r="AS115" s="58">
        <v>2037</v>
      </c>
      <c r="AT115"/>
    </row>
    <row r="116" spans="1:46" x14ac:dyDescent="0.25">
      <c r="A116" s="17" t="str" cm="1">
        <f t="array" ref="A116:A122">fixed_services</f>
        <v>On-net fixed to fixed traffic</v>
      </c>
      <c r="B116" s="23"/>
      <c r="D116" s="148">
        <f>D103*onnet_factor</f>
        <v>130936.02461538464</v>
      </c>
      <c r="E116" s="148">
        <f t="shared" ref="E116:W116" si="9">E103*onnet_factor</f>
        <v>131985.71076923079</v>
      </c>
      <c r="F116" s="148">
        <f t="shared" si="9"/>
        <v>122908.43076923079</v>
      </c>
      <c r="G116" s="148">
        <f t="shared" si="9"/>
        <v>116097.37846153848</v>
      </c>
      <c r="H116" s="148">
        <f t="shared" si="9"/>
        <v>116677.86535384617</v>
      </c>
      <c r="I116" s="148">
        <f t="shared" si="9"/>
        <v>117261.25468061537</v>
      </c>
      <c r="J116" s="148">
        <f t="shared" si="9"/>
        <v>117847.56095401845</v>
      </c>
      <c r="K116" s="148">
        <f t="shared" si="9"/>
        <v>118436.79875878851</v>
      </c>
      <c r="L116" s="148">
        <f t="shared" si="9"/>
        <v>119028.98275258245</v>
      </c>
      <c r="M116" s="148">
        <f t="shared" si="9"/>
        <v>119624.12766634535</v>
      </c>
      <c r="N116" s="148">
        <f t="shared" si="9"/>
        <v>120222.24830467705</v>
      </c>
      <c r="O116" s="148">
        <f t="shared" si="9"/>
        <v>120823.35954620043</v>
      </c>
      <c r="P116" s="148">
        <f t="shared" si="9"/>
        <v>121427.47634393143</v>
      </c>
      <c r="Q116" s="148">
        <f t="shared" si="9"/>
        <v>122034.61372565107</v>
      </c>
      <c r="R116" s="148">
        <f t="shared" si="9"/>
        <v>122644.78679427931</v>
      </c>
      <c r="S116" s="148">
        <f t="shared" si="9"/>
        <v>123258.01072825069</v>
      </c>
      <c r="T116" s="148">
        <f t="shared" si="9"/>
        <v>123874.30078189194</v>
      </c>
      <c r="U116" s="148">
        <f t="shared" si="9"/>
        <v>124493.6722858014</v>
      </c>
      <c r="V116" s="148">
        <f t="shared" si="9"/>
        <v>125116.14064723039</v>
      </c>
      <c r="W116" s="148">
        <f t="shared" si="9"/>
        <v>125741.72135046654</v>
      </c>
      <c r="X116" s="20"/>
    </row>
    <row r="117" spans="1:46" x14ac:dyDescent="0.25">
      <c r="A117" s="17" t="str">
        <v>Incoming fixed to fixed traffic</v>
      </c>
      <c r="B117" s="23"/>
      <c r="D117" s="148">
        <f t="shared" ref="D117:D122" si="10">D104</f>
        <v>43645.341538461551</v>
      </c>
      <c r="E117" s="148">
        <f t="shared" ref="E117:W117" si="11">E104</f>
        <v>43995.236923076933</v>
      </c>
      <c r="F117" s="148">
        <f t="shared" si="11"/>
        <v>40969.476923076931</v>
      </c>
      <c r="G117" s="148">
        <f t="shared" si="11"/>
        <v>38699.126153846162</v>
      </c>
      <c r="H117" s="148">
        <f t="shared" si="11"/>
        <v>38892.621784615389</v>
      </c>
      <c r="I117" s="148">
        <f t="shared" si="11"/>
        <v>39087.084893538464</v>
      </c>
      <c r="J117" s="148">
        <f t="shared" si="11"/>
        <v>39282.520318006151</v>
      </c>
      <c r="K117" s="148">
        <f t="shared" si="11"/>
        <v>39478.932919596176</v>
      </c>
      <c r="L117" s="148">
        <f t="shared" si="11"/>
        <v>39676.32758419415</v>
      </c>
      <c r="M117" s="148">
        <f t="shared" si="11"/>
        <v>39874.709222115118</v>
      </c>
      <c r="N117" s="148">
        <f t="shared" si="11"/>
        <v>40074.082768225686</v>
      </c>
      <c r="O117" s="148">
        <f t="shared" si="11"/>
        <v>40274.453182066813</v>
      </c>
      <c r="P117" s="148">
        <f t="shared" si="11"/>
        <v>40475.825447977142</v>
      </c>
      <c r="Q117" s="148">
        <f t="shared" si="11"/>
        <v>40678.204575217023</v>
      </c>
      <c r="R117" s="148">
        <f t="shared" si="11"/>
        <v>40881.595598093103</v>
      </c>
      <c r="S117" s="148">
        <f t="shared" si="11"/>
        <v>41086.00357608356</v>
      </c>
      <c r="T117" s="148">
        <f t="shared" si="11"/>
        <v>41291.433593963971</v>
      </c>
      <c r="U117" s="148">
        <f t="shared" si="11"/>
        <v>41497.890761933784</v>
      </c>
      <c r="V117" s="148">
        <f t="shared" si="11"/>
        <v>41705.380215743447</v>
      </c>
      <c r="W117" s="148">
        <f t="shared" si="11"/>
        <v>41913.907116822171</v>
      </c>
      <c r="X117" s="20"/>
    </row>
    <row r="118" spans="1:46" x14ac:dyDescent="0.25">
      <c r="A118" s="17" t="str">
        <v>Off-net fixed to fixed traffic</v>
      </c>
      <c r="B118" s="23"/>
      <c r="D118" s="148">
        <f t="shared" si="10"/>
        <v>43645.341538461551</v>
      </c>
      <c r="E118" s="148">
        <f t="shared" ref="E118:W118" si="12">E105</f>
        <v>43995.236923076933</v>
      </c>
      <c r="F118" s="148">
        <f t="shared" si="12"/>
        <v>40969.476923076931</v>
      </c>
      <c r="G118" s="148">
        <f t="shared" si="12"/>
        <v>38699.126153846162</v>
      </c>
      <c r="H118" s="148">
        <f t="shared" si="12"/>
        <v>38892.621784615389</v>
      </c>
      <c r="I118" s="148">
        <f t="shared" si="12"/>
        <v>39087.084893538464</v>
      </c>
      <c r="J118" s="148">
        <f t="shared" si="12"/>
        <v>39282.520318006151</v>
      </c>
      <c r="K118" s="148">
        <f t="shared" si="12"/>
        <v>39478.932919596176</v>
      </c>
      <c r="L118" s="148">
        <f t="shared" si="12"/>
        <v>39676.32758419415</v>
      </c>
      <c r="M118" s="148">
        <f t="shared" si="12"/>
        <v>39874.709222115118</v>
      </c>
      <c r="N118" s="148">
        <f t="shared" si="12"/>
        <v>40074.082768225686</v>
      </c>
      <c r="O118" s="148">
        <f t="shared" si="12"/>
        <v>40274.453182066813</v>
      </c>
      <c r="P118" s="148">
        <f t="shared" si="12"/>
        <v>40475.825447977142</v>
      </c>
      <c r="Q118" s="148">
        <f t="shared" si="12"/>
        <v>40678.204575217023</v>
      </c>
      <c r="R118" s="148">
        <f t="shared" si="12"/>
        <v>40881.595598093103</v>
      </c>
      <c r="S118" s="148">
        <f t="shared" si="12"/>
        <v>41086.00357608356</v>
      </c>
      <c r="T118" s="148">
        <f t="shared" si="12"/>
        <v>41291.433593963971</v>
      </c>
      <c r="U118" s="148">
        <f t="shared" si="12"/>
        <v>41497.890761933784</v>
      </c>
      <c r="V118" s="148">
        <f t="shared" si="12"/>
        <v>41705.380215743447</v>
      </c>
      <c r="W118" s="148">
        <f t="shared" si="12"/>
        <v>41913.907116822171</v>
      </c>
      <c r="X118" s="20"/>
    </row>
    <row r="119" spans="1:46" x14ac:dyDescent="0.25">
      <c r="A119" s="17" t="str">
        <v>Fixed to Mobile Telephone traffic</v>
      </c>
      <c r="B119" s="23"/>
      <c r="D119" s="148">
        <f t="shared" si="10"/>
        <v>131561.28461538465</v>
      </c>
      <c r="E119" s="148">
        <f t="shared" ref="E119:W119" si="13">E106</f>
        <v>128117.66153846157</v>
      </c>
      <c r="F119" s="148">
        <f t="shared" si="13"/>
        <v>148258.6153846154</v>
      </c>
      <c r="G119" s="148">
        <f t="shared" si="13"/>
        <v>148334.76923076925</v>
      </c>
      <c r="H119" s="148">
        <f t="shared" si="13"/>
        <v>149076.44307692308</v>
      </c>
      <c r="I119" s="148">
        <f t="shared" si="13"/>
        <v>149821.82529230765</v>
      </c>
      <c r="J119" s="148">
        <f t="shared" si="13"/>
        <v>150570.9344187692</v>
      </c>
      <c r="K119" s="148">
        <f t="shared" si="13"/>
        <v>151323.78909086302</v>
      </c>
      <c r="L119" s="148">
        <f t="shared" si="13"/>
        <v>152080.4080363173</v>
      </c>
      <c r="M119" s="148">
        <f t="shared" si="13"/>
        <v>152840.81007649886</v>
      </c>
      <c r="N119" s="148">
        <f t="shared" si="13"/>
        <v>153605.01412688135</v>
      </c>
      <c r="O119" s="148">
        <f t="shared" si="13"/>
        <v>154373.03919751575</v>
      </c>
      <c r="P119" s="148">
        <f t="shared" si="13"/>
        <v>155144.9043935033</v>
      </c>
      <c r="Q119" s="148">
        <f t="shared" si="13"/>
        <v>155920.62891547079</v>
      </c>
      <c r="R119" s="148">
        <f t="shared" si="13"/>
        <v>156700.23206004815</v>
      </c>
      <c r="S119" s="148">
        <f t="shared" si="13"/>
        <v>157483.73322034834</v>
      </c>
      <c r="T119" s="148">
        <f t="shared" si="13"/>
        <v>158271.15188645007</v>
      </c>
      <c r="U119" s="148">
        <f t="shared" si="13"/>
        <v>159062.50764588226</v>
      </c>
      <c r="V119" s="148">
        <f t="shared" si="13"/>
        <v>159857.82018411168</v>
      </c>
      <c r="W119" s="148">
        <f t="shared" si="13"/>
        <v>160657.10928503223</v>
      </c>
      <c r="X119" s="20"/>
    </row>
    <row r="120" spans="1:46" x14ac:dyDescent="0.25">
      <c r="A120" s="17" t="str">
        <v>Outgoing mobile traffic to fixed networks</v>
      </c>
      <c r="B120" s="23"/>
      <c r="D120" s="148">
        <f t="shared" si="10"/>
        <v>38230.338461538471</v>
      </c>
      <c r="E120" s="148">
        <f t="shared" ref="E120:W120" si="14">E107</f>
        <v>53056.12307692309</v>
      </c>
      <c r="F120" s="148">
        <f t="shared" si="14"/>
        <v>67974.692307692327</v>
      </c>
      <c r="G120" s="148">
        <f t="shared" si="14"/>
        <v>67549.784615384633</v>
      </c>
      <c r="H120" s="148">
        <f t="shared" si="14"/>
        <v>67887.533538461546</v>
      </c>
      <c r="I120" s="148">
        <f t="shared" si="14"/>
        <v>68226.971206153859</v>
      </c>
      <c r="J120" s="148">
        <f t="shared" si="14"/>
        <v>68568.106062184612</v>
      </c>
      <c r="K120" s="148">
        <f t="shared" si="14"/>
        <v>68910.946592495529</v>
      </c>
      <c r="L120" s="148">
        <f t="shared" si="14"/>
        <v>69255.501325457997</v>
      </c>
      <c r="M120" s="148">
        <f t="shared" si="14"/>
        <v>69601.7788320853</v>
      </c>
      <c r="N120" s="148">
        <f t="shared" si="14"/>
        <v>69949.787726245719</v>
      </c>
      <c r="O120" s="148">
        <f t="shared" si="14"/>
        <v>70299.536664876927</v>
      </c>
      <c r="P120" s="148">
        <f t="shared" si="14"/>
        <v>70651.034348201298</v>
      </c>
      <c r="Q120" s="148">
        <f t="shared" si="14"/>
        <v>71004.289519942293</v>
      </c>
      <c r="R120" s="148">
        <f t="shared" si="14"/>
        <v>71359.310967541998</v>
      </c>
      <c r="S120" s="148">
        <f t="shared" si="14"/>
        <v>71716.107522379709</v>
      </c>
      <c r="T120" s="148">
        <f t="shared" si="14"/>
        <v>72074.688059991589</v>
      </c>
      <c r="U120" s="148">
        <f t="shared" si="14"/>
        <v>72435.061500291544</v>
      </c>
      <c r="V120" s="148">
        <f t="shared" si="14"/>
        <v>72797.236807792986</v>
      </c>
      <c r="W120" s="148">
        <f t="shared" si="14"/>
        <v>73161.222991831935</v>
      </c>
      <c r="X120" s="20"/>
    </row>
    <row r="121" spans="1:46" x14ac:dyDescent="0.25">
      <c r="A121" s="17" t="str">
        <v xml:space="preserve">International incoming fixed telephone traffic </v>
      </c>
      <c r="B121" s="23"/>
      <c r="D121" s="148">
        <f t="shared" si="10"/>
        <v>5827.4838461538475</v>
      </c>
      <c r="E121" s="148">
        <f t="shared" ref="E121:W122" si="15">E108</f>
        <v>3405.1876923076929</v>
      </c>
      <c r="F121" s="148">
        <f t="shared" si="15"/>
        <v>2380.961538461539</v>
      </c>
      <c r="G121" s="148">
        <f t="shared" si="15"/>
        <v>1110.8578461538464</v>
      </c>
      <c r="H121" s="148">
        <f t="shared" si="15"/>
        <v>1116.4121353846156</v>
      </c>
      <c r="I121" s="148">
        <f t="shared" si="15"/>
        <v>1121.9941960615386</v>
      </c>
      <c r="J121" s="148">
        <f t="shared" si="15"/>
        <v>1127.604167041846</v>
      </c>
      <c r="K121" s="148">
        <f t="shared" si="15"/>
        <v>1133.2421878770551</v>
      </c>
      <c r="L121" s="148">
        <f t="shared" si="15"/>
        <v>1138.9083988164402</v>
      </c>
      <c r="M121" s="148">
        <f t="shared" si="15"/>
        <v>1144.6029408105223</v>
      </c>
      <c r="N121" s="148">
        <f t="shared" si="15"/>
        <v>1150.3259555145748</v>
      </c>
      <c r="O121" s="148">
        <f t="shared" si="15"/>
        <v>1156.0775852921477</v>
      </c>
      <c r="P121" s="148">
        <f t="shared" si="15"/>
        <v>1161.8579732186081</v>
      </c>
      <c r="Q121" s="148">
        <f t="shared" si="15"/>
        <v>1167.6672630847013</v>
      </c>
      <c r="R121" s="148">
        <f t="shared" si="15"/>
        <v>1173.5055994001248</v>
      </c>
      <c r="S121" s="148">
        <f t="shared" si="15"/>
        <v>1179.373127397125</v>
      </c>
      <c r="T121" s="148">
        <f t="shared" si="15"/>
        <v>1185.2699930341107</v>
      </c>
      <c r="U121" s="148">
        <f t="shared" si="15"/>
        <v>1191.1963429992811</v>
      </c>
      <c r="V121" s="148">
        <f t="shared" si="15"/>
        <v>1197.1523247142775</v>
      </c>
      <c r="W121" s="148">
        <f t="shared" si="15"/>
        <v>1203.1380863378486</v>
      </c>
    </row>
    <row r="122" spans="1:46" x14ac:dyDescent="0.25">
      <c r="A122" s="17" t="str">
        <v>International outgoing fixed telephone traffic</v>
      </c>
      <c r="B122" s="23"/>
      <c r="D122" s="148">
        <f t="shared" si="10"/>
        <v>5757.4892307692317</v>
      </c>
      <c r="E122" s="148">
        <f t="shared" si="15"/>
        <v>1719.1095384615389</v>
      </c>
      <c r="F122" s="148">
        <f t="shared" si="15"/>
        <v>1883.4346153846159</v>
      </c>
      <c r="G122" s="148">
        <f t="shared" si="15"/>
        <v>1598.3655384615388</v>
      </c>
      <c r="H122" s="148">
        <f t="shared" si="15"/>
        <v>1606.3573661538464</v>
      </c>
      <c r="I122" s="148">
        <f t="shared" si="15"/>
        <v>1614.3891529846155</v>
      </c>
      <c r="J122" s="148">
        <f t="shared" si="15"/>
        <v>1622.4610987495382</v>
      </c>
      <c r="K122" s="148">
        <f t="shared" si="15"/>
        <v>1630.5734042432859</v>
      </c>
      <c r="L122" s="148">
        <f t="shared" si="15"/>
        <v>1638.7262712645022</v>
      </c>
      <c r="M122" s="148">
        <f t="shared" si="15"/>
        <v>1646.9199026208246</v>
      </c>
      <c r="N122" s="148">
        <f t="shared" si="15"/>
        <v>1655.1545021339282</v>
      </c>
      <c r="O122" s="148">
        <f t="shared" si="15"/>
        <v>1663.4302746445978</v>
      </c>
      <c r="P122" s="148">
        <f t="shared" si="15"/>
        <v>1671.7474260178205</v>
      </c>
      <c r="Q122" s="148">
        <f t="shared" si="15"/>
        <v>1680.1061631479095</v>
      </c>
      <c r="R122" s="148">
        <f t="shared" si="15"/>
        <v>1688.506693963649</v>
      </c>
      <c r="S122" s="148">
        <f t="shared" si="15"/>
        <v>1696.9492274334668</v>
      </c>
      <c r="T122" s="148">
        <f t="shared" si="15"/>
        <v>1705.433973570634</v>
      </c>
      <c r="U122" s="148">
        <f t="shared" si="15"/>
        <v>1713.9611434384872</v>
      </c>
      <c r="V122" s="148">
        <f t="shared" si="15"/>
        <v>1722.5309491556795</v>
      </c>
      <c r="W122" s="148">
        <f t="shared" si="15"/>
        <v>1731.1436039014577</v>
      </c>
      <c r="X122" s="20" t="s">
        <v>108</v>
      </c>
    </row>
    <row r="123" spans="1:46" x14ac:dyDescent="0.25">
      <c r="B123" s="23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20"/>
    </row>
    <row r="124" spans="1:46" x14ac:dyDescent="0.25">
      <c r="A124" s="17" t="s">
        <v>104</v>
      </c>
      <c r="B124" s="23"/>
      <c r="D124" s="148">
        <f>SUM(D116:D122)</f>
        <v>399603.30384615395</v>
      </c>
      <c r="E124" s="148">
        <f t="shared" ref="E124:W124" si="16">SUM(E116:E122)</f>
        <v>406274.26646153856</v>
      </c>
      <c r="F124" s="148">
        <f t="shared" si="16"/>
        <v>425345.08846153854</v>
      </c>
      <c r="G124" s="148">
        <f t="shared" si="16"/>
        <v>412089.40800000005</v>
      </c>
      <c r="H124" s="148">
        <f t="shared" si="16"/>
        <v>414149.85504000005</v>
      </c>
      <c r="I124" s="148">
        <f t="shared" si="16"/>
        <v>416220.60431519989</v>
      </c>
      <c r="J124" s="148">
        <f t="shared" si="16"/>
        <v>418301.70733677596</v>
      </c>
      <c r="K124" s="148">
        <f t="shared" si="16"/>
        <v>420393.21587345976</v>
      </c>
      <c r="L124" s="148">
        <f t="shared" si="16"/>
        <v>422495.18195282691</v>
      </c>
      <c r="M124" s="148">
        <f t="shared" si="16"/>
        <v>424607.65786259109</v>
      </c>
      <c r="N124" s="148">
        <f t="shared" si="16"/>
        <v>426730.69615190401</v>
      </c>
      <c r="O124" s="148">
        <f t="shared" si="16"/>
        <v>428864.34963266348</v>
      </c>
      <c r="P124" s="148">
        <f t="shared" si="16"/>
        <v>431008.67138082674</v>
      </c>
      <c r="Q124" s="148">
        <f t="shared" si="16"/>
        <v>433163.7147377308</v>
      </c>
      <c r="R124" s="148">
        <f t="shared" si="16"/>
        <v>435329.53331141948</v>
      </c>
      <c r="S124" s="148">
        <f t="shared" si="16"/>
        <v>437506.18097797647</v>
      </c>
      <c r="T124" s="148">
        <f t="shared" si="16"/>
        <v>439693.71188286634</v>
      </c>
      <c r="U124" s="148">
        <f t="shared" si="16"/>
        <v>441892.18044228054</v>
      </c>
      <c r="V124" s="148">
        <f t="shared" si="16"/>
        <v>444101.64134449192</v>
      </c>
      <c r="W124" s="148">
        <f t="shared" si="16"/>
        <v>446322.14955121436</v>
      </c>
      <c r="X124" s="20" t="s">
        <v>109</v>
      </c>
      <c r="Z124" s="148">
        <f t="shared" ref="Z124:AS124" si="17">D124-D117-D119-D120</f>
        <v>186166.33923076926</v>
      </c>
      <c r="AA124" s="148">
        <f t="shared" si="17"/>
        <v>181105.244923077</v>
      </c>
      <c r="AB124" s="148">
        <f t="shared" si="17"/>
        <v>168142.3038461539</v>
      </c>
      <c r="AC124" s="148">
        <f t="shared" si="17"/>
        <v>157505.728</v>
      </c>
      <c r="AD124" s="148">
        <f t="shared" si="17"/>
        <v>158293.25664000004</v>
      </c>
      <c r="AE124" s="148">
        <f t="shared" si="17"/>
        <v>159084.72292319994</v>
      </c>
      <c r="AF124" s="148">
        <f t="shared" si="17"/>
        <v>159880.14653781598</v>
      </c>
      <c r="AG124" s="148">
        <f t="shared" si="17"/>
        <v>160679.54727050505</v>
      </c>
      <c r="AH124" s="148">
        <f t="shared" si="17"/>
        <v>161482.94500685748</v>
      </c>
      <c r="AI124" s="148">
        <f t="shared" si="17"/>
        <v>162290.35973189183</v>
      </c>
      <c r="AJ124" s="148">
        <f t="shared" si="17"/>
        <v>163101.81153055123</v>
      </c>
      <c r="AK124" s="148">
        <f t="shared" si="17"/>
        <v>163917.32058820402</v>
      </c>
      <c r="AL124" s="148">
        <f t="shared" si="17"/>
        <v>164736.90719114497</v>
      </c>
      <c r="AM124" s="148">
        <f t="shared" si="17"/>
        <v>165560.59172710066</v>
      </c>
      <c r="AN124" s="148">
        <f t="shared" si="17"/>
        <v>166388.39468573622</v>
      </c>
      <c r="AO124" s="148">
        <f t="shared" si="17"/>
        <v>167220.33665916487</v>
      </c>
      <c r="AP124" s="148">
        <f t="shared" si="17"/>
        <v>168056.43834246072</v>
      </c>
      <c r="AQ124" s="148">
        <f t="shared" si="17"/>
        <v>168896.72053417293</v>
      </c>
      <c r="AR124" s="148">
        <f t="shared" si="17"/>
        <v>169741.20413684379</v>
      </c>
      <c r="AS124" s="148">
        <f t="shared" si="17"/>
        <v>170589.91015752807</v>
      </c>
      <c r="AT124" s="20" t="s">
        <v>110</v>
      </c>
    </row>
    <row r="125" spans="1:46" x14ac:dyDescent="0.25">
      <c r="B125" s="23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20"/>
    </row>
    <row r="126" spans="1:46" x14ac:dyDescent="0.25">
      <c r="A126" s="54" t="s">
        <v>111</v>
      </c>
      <c r="B126" s="162"/>
      <c r="C126" s="5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6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</row>
    <row r="127" spans="1:46" x14ac:dyDescent="0.25">
      <c r="B127" s="23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20"/>
    </row>
    <row r="128" spans="1:46" x14ac:dyDescent="0.25">
      <c r="A128" s="17" t="s">
        <v>112</v>
      </c>
      <c r="B128" s="23"/>
      <c r="D128" s="54" t="s">
        <v>102</v>
      </c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20"/>
      <c r="Z128" s="54" t="s">
        <v>92</v>
      </c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</row>
    <row r="129" spans="1:46" x14ac:dyDescent="0.25">
      <c r="B129" s="23"/>
      <c r="D129" s="34" cm="1">
        <f t="array" ref="D129:W129">years</f>
        <v>2018</v>
      </c>
      <c r="E129" s="34">
        <v>2019</v>
      </c>
      <c r="F129" s="34">
        <v>2020</v>
      </c>
      <c r="G129" s="34">
        <v>2021</v>
      </c>
      <c r="H129" s="34">
        <v>2022</v>
      </c>
      <c r="I129" s="34">
        <v>2023</v>
      </c>
      <c r="J129" s="34">
        <v>2024</v>
      </c>
      <c r="K129" s="34">
        <v>2025</v>
      </c>
      <c r="L129" s="34">
        <v>2026</v>
      </c>
      <c r="M129" s="34">
        <v>2027</v>
      </c>
      <c r="N129" s="34">
        <v>2028</v>
      </c>
      <c r="O129" s="34">
        <v>2029</v>
      </c>
      <c r="P129" s="34">
        <v>2030</v>
      </c>
      <c r="Q129" s="34">
        <v>2031</v>
      </c>
      <c r="R129" s="34">
        <v>2032</v>
      </c>
      <c r="S129" s="34">
        <v>2033</v>
      </c>
      <c r="T129" s="34">
        <v>2034</v>
      </c>
      <c r="U129" s="34">
        <v>2035</v>
      </c>
      <c r="V129" s="34">
        <v>2036</v>
      </c>
      <c r="W129" s="34">
        <v>2037</v>
      </c>
      <c r="X129" s="20"/>
      <c r="Z129" s="58" cm="1">
        <f t="array" ref="Z129:AS129">years</f>
        <v>2018</v>
      </c>
      <c r="AA129" s="58">
        <v>2019</v>
      </c>
      <c r="AB129" s="58">
        <v>2020</v>
      </c>
      <c r="AC129" s="58">
        <v>2021</v>
      </c>
      <c r="AD129" s="58">
        <v>2022</v>
      </c>
      <c r="AE129" s="58">
        <v>2023</v>
      </c>
      <c r="AF129" s="58">
        <v>2024</v>
      </c>
      <c r="AG129" s="58">
        <v>2025</v>
      </c>
      <c r="AH129" s="58">
        <v>2026</v>
      </c>
      <c r="AI129" s="58">
        <v>2027</v>
      </c>
      <c r="AJ129" s="58">
        <v>2028</v>
      </c>
      <c r="AK129" s="58">
        <v>2029</v>
      </c>
      <c r="AL129" s="58">
        <v>2030</v>
      </c>
      <c r="AM129" s="58">
        <v>2031</v>
      </c>
      <c r="AN129" s="58">
        <v>2032</v>
      </c>
      <c r="AO129" s="58">
        <v>2033</v>
      </c>
      <c r="AP129" s="58">
        <v>2034</v>
      </c>
      <c r="AQ129" s="58">
        <v>2035</v>
      </c>
      <c r="AR129" s="58">
        <v>2036</v>
      </c>
      <c r="AS129" s="58">
        <v>2037</v>
      </c>
    </row>
    <row r="130" spans="1:46" x14ac:dyDescent="0.25">
      <c r="A130" s="17" t="str" cm="1">
        <f t="array" ref="A130:A136">fixed_services</f>
        <v>On-net fixed to fixed traffic</v>
      </c>
      <c r="B130" s="23"/>
      <c r="D130" s="31" cm="1">
        <f t="array" ref="D130:W136">fixed_calls_service_onnet_factor/(1-unsuccessful_calls_perc)</f>
        <v>137827.39433198384</v>
      </c>
      <c r="E130" s="31">
        <v>138932.3271255061</v>
      </c>
      <c r="F130" s="31">
        <v>129377.29554655873</v>
      </c>
      <c r="G130" s="31">
        <v>122207.76680161945</v>
      </c>
      <c r="H130" s="31">
        <v>122818.80563562755</v>
      </c>
      <c r="I130" s="31">
        <v>123432.89966380566</v>
      </c>
      <c r="J130" s="31">
        <v>124050.06416212469</v>
      </c>
      <c r="K130" s="31">
        <v>124670.31448293528</v>
      </c>
      <c r="L130" s="31">
        <v>125293.66605534995</v>
      </c>
      <c r="M130" s="31">
        <v>125920.13438562669</v>
      </c>
      <c r="N130" s="31">
        <v>126549.73505755479</v>
      </c>
      <c r="O130" s="31">
        <v>127182.48373284256</v>
      </c>
      <c r="P130" s="31">
        <v>127818.39615150676</v>
      </c>
      <c r="Q130" s="31">
        <v>128457.48813226429</v>
      </c>
      <c r="R130" s="31">
        <v>129099.77557292559</v>
      </c>
      <c r="S130" s="31">
        <v>129745.27445079021</v>
      </c>
      <c r="T130" s="31">
        <v>130394.00082304416</v>
      </c>
      <c r="U130" s="31">
        <v>131045.97082715937</v>
      </c>
      <c r="V130" s="31">
        <v>131701.20068129516</v>
      </c>
      <c r="W130" s="31">
        <v>132359.70668470164</v>
      </c>
      <c r="X130" s="20"/>
    </row>
    <row r="131" spans="1:46" x14ac:dyDescent="0.25">
      <c r="A131" s="17" t="str">
        <v>Incoming fixed to fixed traffic</v>
      </c>
      <c r="B131" s="23"/>
      <c r="D131" s="31">
        <v>45942.46477732795</v>
      </c>
      <c r="E131" s="31">
        <v>46310.775708502035</v>
      </c>
      <c r="F131" s="31">
        <v>43125.765182186246</v>
      </c>
      <c r="G131" s="31">
        <v>40735.922267206486</v>
      </c>
      <c r="H131" s="31">
        <v>40939.601878542519</v>
      </c>
      <c r="I131" s="31">
        <v>41144.299887935224</v>
      </c>
      <c r="J131" s="31">
        <v>41350.021387374894</v>
      </c>
      <c r="K131" s="31">
        <v>41556.771494311768</v>
      </c>
      <c r="L131" s="31">
        <v>41764.555351783318</v>
      </c>
      <c r="M131" s="31">
        <v>41973.37812854223</v>
      </c>
      <c r="N131" s="31">
        <v>42183.245019184935</v>
      </c>
      <c r="O131" s="31">
        <v>42394.161244280855</v>
      </c>
      <c r="P131" s="31">
        <v>42606.13205050226</v>
      </c>
      <c r="Q131" s="31">
        <v>42819.162710754761</v>
      </c>
      <c r="R131" s="31">
        <v>43033.258524308534</v>
      </c>
      <c r="S131" s="31">
        <v>43248.424816930063</v>
      </c>
      <c r="T131" s="31">
        <v>43464.666941014708</v>
      </c>
      <c r="U131" s="31">
        <v>43681.990275719778</v>
      </c>
      <c r="V131" s="31">
        <v>43900.400227098369</v>
      </c>
      <c r="W131" s="31">
        <v>44119.902228233863</v>
      </c>
      <c r="X131" s="20"/>
    </row>
    <row r="132" spans="1:46" x14ac:dyDescent="0.25">
      <c r="A132" s="17" t="str">
        <v>Off-net fixed to fixed traffic</v>
      </c>
      <c r="B132" s="23"/>
      <c r="D132" s="31">
        <v>45942.46477732795</v>
      </c>
      <c r="E132" s="31">
        <v>46310.775708502035</v>
      </c>
      <c r="F132" s="31">
        <v>43125.765182186246</v>
      </c>
      <c r="G132" s="31">
        <v>40735.922267206486</v>
      </c>
      <c r="H132" s="31">
        <v>40939.601878542519</v>
      </c>
      <c r="I132" s="31">
        <v>41144.299887935224</v>
      </c>
      <c r="J132" s="31">
        <v>41350.021387374894</v>
      </c>
      <c r="K132" s="31">
        <v>41556.771494311768</v>
      </c>
      <c r="L132" s="31">
        <v>41764.555351783318</v>
      </c>
      <c r="M132" s="31">
        <v>41973.37812854223</v>
      </c>
      <c r="N132" s="31">
        <v>42183.245019184935</v>
      </c>
      <c r="O132" s="31">
        <v>42394.161244280855</v>
      </c>
      <c r="P132" s="31">
        <v>42606.13205050226</v>
      </c>
      <c r="Q132" s="31">
        <v>42819.162710754761</v>
      </c>
      <c r="R132" s="31">
        <v>43033.258524308534</v>
      </c>
      <c r="S132" s="31">
        <v>43248.424816930063</v>
      </c>
      <c r="T132" s="31">
        <v>43464.666941014708</v>
      </c>
      <c r="U132" s="31">
        <v>43681.990275719778</v>
      </c>
      <c r="V132" s="31">
        <v>43900.400227098369</v>
      </c>
      <c r="W132" s="31">
        <v>44119.902228233863</v>
      </c>
      <c r="X132" s="20"/>
    </row>
    <row r="133" spans="1:46" x14ac:dyDescent="0.25">
      <c r="A133" s="17" t="str">
        <v>Fixed to Mobile Telephone traffic</v>
      </c>
      <c r="D133" s="31">
        <v>138485.56275303647</v>
      </c>
      <c r="E133" s="31">
        <v>134860.69635627535</v>
      </c>
      <c r="F133" s="31">
        <v>156061.70040485833</v>
      </c>
      <c r="G133" s="31">
        <v>156141.86234817817</v>
      </c>
      <c r="H133" s="31">
        <v>156922.57165991905</v>
      </c>
      <c r="I133" s="31">
        <v>157707.18451821859</v>
      </c>
      <c r="J133" s="31">
        <v>158495.7204408097</v>
      </c>
      <c r="K133" s="31">
        <v>159288.19904301371</v>
      </c>
      <c r="L133" s="31">
        <v>160084.64003822874</v>
      </c>
      <c r="M133" s="31">
        <v>160885.06323841985</v>
      </c>
      <c r="N133" s="31">
        <v>161689.48855461195</v>
      </c>
      <c r="O133" s="31">
        <v>162497.93599738501</v>
      </c>
      <c r="P133" s="31">
        <v>163310.42567737191</v>
      </c>
      <c r="Q133" s="31">
        <v>164126.97780575874</v>
      </c>
      <c r="R133" s="31">
        <v>164947.61269478753</v>
      </c>
      <c r="S133" s="31">
        <v>165772.35075826143</v>
      </c>
      <c r="T133" s="31">
        <v>166601.21251205271</v>
      </c>
      <c r="U133" s="31">
        <v>167434.21857461293</v>
      </c>
      <c r="V133" s="31">
        <v>168271.38966748599</v>
      </c>
      <c r="W133" s="31">
        <v>169112.74661582342</v>
      </c>
    </row>
    <row r="134" spans="1:46" x14ac:dyDescent="0.25">
      <c r="A134" s="17" t="str">
        <v>Outgoing mobile traffic to fixed networks</v>
      </c>
      <c r="D134" s="31">
        <v>40242.461538461554</v>
      </c>
      <c r="E134" s="31">
        <v>55848.550607287463</v>
      </c>
      <c r="F134" s="31">
        <v>71552.307692307717</v>
      </c>
      <c r="G134" s="31">
        <v>71105.036437246992</v>
      </c>
      <c r="H134" s="31">
        <v>71460.561619433211</v>
      </c>
      <c r="I134" s="31">
        <v>71817.864427530381</v>
      </c>
      <c r="J134" s="31">
        <v>72176.953749668013</v>
      </c>
      <c r="K134" s="31">
        <v>72537.838518416349</v>
      </c>
      <c r="L134" s="31">
        <v>72900.527711008428</v>
      </c>
      <c r="M134" s="31">
        <v>73265.030349563473</v>
      </c>
      <c r="N134" s="31">
        <v>73631.355501311293</v>
      </c>
      <c r="O134" s="31">
        <v>73999.512278817827</v>
      </c>
      <c r="P134" s="31">
        <v>74369.509840211889</v>
      </c>
      <c r="Q134" s="31">
        <v>74741.357389412937</v>
      </c>
      <c r="R134" s="31">
        <v>75115.06417636</v>
      </c>
      <c r="S134" s="31">
        <v>75490.639497241806</v>
      </c>
      <c r="T134" s="31">
        <v>75868.092694727995</v>
      </c>
      <c r="U134" s="31">
        <v>76247.433158201631</v>
      </c>
      <c r="V134" s="31">
        <v>76628.670323992614</v>
      </c>
      <c r="W134" s="31">
        <v>77011.81367561256</v>
      </c>
      <c r="X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</row>
    <row r="135" spans="1:46" x14ac:dyDescent="0.25">
      <c r="A135" s="17" t="str">
        <v xml:space="preserve">International incoming fixed telephone traffic </v>
      </c>
      <c r="D135" s="31">
        <v>6134.1935222672082</v>
      </c>
      <c r="E135" s="31">
        <v>3584.4080971659928</v>
      </c>
      <c r="F135" s="31">
        <v>2506.2753036437252</v>
      </c>
      <c r="G135" s="31">
        <v>1169.3240485829963</v>
      </c>
      <c r="H135" s="31">
        <v>1175.1706688259112</v>
      </c>
      <c r="I135" s="31">
        <v>1181.0465221700406</v>
      </c>
      <c r="J135" s="31">
        <v>1186.9517547808907</v>
      </c>
      <c r="K135" s="31">
        <v>1192.8865135547949</v>
      </c>
      <c r="L135" s="31">
        <v>1198.8509461225688</v>
      </c>
      <c r="M135" s="31">
        <v>1204.8452008531815</v>
      </c>
      <c r="N135" s="31">
        <v>1210.8694268574473</v>
      </c>
      <c r="O135" s="31">
        <v>1216.9237739917344</v>
      </c>
      <c r="P135" s="31">
        <v>1223.0083928616928</v>
      </c>
      <c r="Q135" s="31">
        <v>1229.1234348260014</v>
      </c>
      <c r="R135" s="31">
        <v>1235.2690520001313</v>
      </c>
      <c r="S135" s="31">
        <v>1241.4453972601316</v>
      </c>
      <c r="T135" s="31">
        <v>1247.6526242464324</v>
      </c>
      <c r="U135" s="31">
        <v>1253.8908873676644</v>
      </c>
      <c r="V135" s="31">
        <v>1260.1603418045027</v>
      </c>
      <c r="W135" s="31">
        <v>1266.4611435135248</v>
      </c>
    </row>
    <row r="136" spans="1:46" x14ac:dyDescent="0.25">
      <c r="A136" s="17" t="str">
        <v>International outgoing fixed telephone traffic</v>
      </c>
      <c r="D136" s="31">
        <v>6060.5149797570866</v>
      </c>
      <c r="E136" s="31">
        <v>1809.5889878542516</v>
      </c>
      <c r="F136" s="31">
        <v>1982.5627530364379</v>
      </c>
      <c r="G136" s="31">
        <v>1682.4900404858304</v>
      </c>
      <c r="H136" s="31">
        <v>1690.9024906882596</v>
      </c>
      <c r="I136" s="31">
        <v>1699.3570031417007</v>
      </c>
      <c r="J136" s="31">
        <v>1707.8537881574086</v>
      </c>
      <c r="K136" s="31">
        <v>1716.3930570981959</v>
      </c>
      <c r="L136" s="31">
        <v>1724.9750223836866</v>
      </c>
      <c r="M136" s="31">
        <v>1733.5998974956049</v>
      </c>
      <c r="N136" s="31">
        <v>1742.2678969830824</v>
      </c>
      <c r="O136" s="31">
        <v>1750.9792364679979</v>
      </c>
      <c r="P136" s="31">
        <v>1759.7341326503374</v>
      </c>
      <c r="Q136" s="31">
        <v>1768.5328033135891</v>
      </c>
      <c r="R136" s="31">
        <v>1777.3754673301569</v>
      </c>
      <c r="S136" s="31">
        <v>1786.2623446668072</v>
      </c>
      <c r="T136" s="31">
        <v>1795.1936563901411</v>
      </c>
      <c r="U136" s="31">
        <v>1804.1696246720919</v>
      </c>
      <c r="V136" s="31">
        <v>1813.1904727954523</v>
      </c>
      <c r="W136" s="31">
        <v>1822.2564251594292</v>
      </c>
    </row>
    <row r="137" spans="1:46" x14ac:dyDescent="0.25"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</row>
    <row r="138" spans="1:46" x14ac:dyDescent="0.25">
      <c r="A138" s="17" t="s">
        <v>104</v>
      </c>
      <c r="D138" s="21">
        <f t="shared" ref="D138:V138" si="18">SUM(D130:D136)</f>
        <v>420635.05668016209</v>
      </c>
      <c r="E138" s="21">
        <f t="shared" si="18"/>
        <v>427657.12259109324</v>
      </c>
      <c r="F138" s="21">
        <f t="shared" si="18"/>
        <v>447731.67206477746</v>
      </c>
      <c r="G138" s="21">
        <f t="shared" si="18"/>
        <v>433778.32421052636</v>
      </c>
      <c r="H138" s="21">
        <f t="shared" si="18"/>
        <v>435947.215831579</v>
      </c>
      <c r="I138" s="21">
        <f t="shared" si="18"/>
        <v>438126.9519107368</v>
      </c>
      <c r="J138" s="21">
        <f t="shared" si="18"/>
        <v>440317.5866702905</v>
      </c>
      <c r="K138" s="21">
        <f t="shared" si="18"/>
        <v>442519.17460364185</v>
      </c>
      <c r="L138" s="21">
        <f t="shared" si="18"/>
        <v>444731.77047665999</v>
      </c>
      <c r="M138" s="21">
        <f t="shared" si="18"/>
        <v>446955.42932904325</v>
      </c>
      <c r="N138" s="21">
        <f t="shared" si="18"/>
        <v>449190.20647568844</v>
      </c>
      <c r="O138" s="21">
        <f t="shared" si="18"/>
        <v>451436.15750806686</v>
      </c>
      <c r="P138" s="21">
        <f t="shared" si="18"/>
        <v>453693.33829560713</v>
      </c>
      <c r="Q138" s="21">
        <f t="shared" si="18"/>
        <v>455961.80498708499</v>
      </c>
      <c r="R138" s="21">
        <f t="shared" si="18"/>
        <v>458241.61401202047</v>
      </c>
      <c r="S138" s="21">
        <f t="shared" si="18"/>
        <v>460532.82208208053</v>
      </c>
      <c r="T138" s="21">
        <f t="shared" si="18"/>
        <v>462835.48619249079</v>
      </c>
      <c r="U138" s="21">
        <f t="shared" si="18"/>
        <v>465149.66362345323</v>
      </c>
      <c r="V138" s="21">
        <f t="shared" si="18"/>
        <v>467475.41194157046</v>
      </c>
      <c r="W138" s="21">
        <f>SUM(W130:W136)</f>
        <v>469812.78900127829</v>
      </c>
      <c r="X138" s="20" t="s">
        <v>113</v>
      </c>
      <c r="Z138" s="148">
        <f t="shared" ref="Z138:AS138" si="19">D138-D131-D133-D134</f>
        <v>195964.5676113361</v>
      </c>
      <c r="AA138" s="148">
        <f t="shared" si="19"/>
        <v>190637.09991902838</v>
      </c>
      <c r="AB138" s="148">
        <f t="shared" si="19"/>
        <v>176991.89878542515</v>
      </c>
      <c r="AC138" s="148">
        <f t="shared" si="19"/>
        <v>165795.50315789471</v>
      </c>
      <c r="AD138" s="148">
        <f t="shared" si="19"/>
        <v>166624.48067368421</v>
      </c>
      <c r="AE138" s="148">
        <f t="shared" si="19"/>
        <v>167457.6030770526</v>
      </c>
      <c r="AF138" s="148">
        <f t="shared" si="19"/>
        <v>168294.8910924379</v>
      </c>
      <c r="AG138" s="148">
        <f t="shared" si="19"/>
        <v>169136.36554790003</v>
      </c>
      <c r="AH138" s="148">
        <f t="shared" si="19"/>
        <v>169982.04737563955</v>
      </c>
      <c r="AI138" s="148">
        <f t="shared" si="19"/>
        <v>170831.9576125177</v>
      </c>
      <c r="AJ138" s="148">
        <f t="shared" si="19"/>
        <v>171686.11740058026</v>
      </c>
      <c r="AK138" s="148">
        <f t="shared" si="19"/>
        <v>172544.54798758315</v>
      </c>
      <c r="AL138" s="148">
        <f t="shared" si="19"/>
        <v>173407.2707275211</v>
      </c>
      <c r="AM138" s="148">
        <f t="shared" si="19"/>
        <v>174274.30708115853</v>
      </c>
      <c r="AN138" s="148">
        <f t="shared" si="19"/>
        <v>175145.67861656443</v>
      </c>
      <c r="AO138" s="148">
        <f t="shared" si="19"/>
        <v>176021.40700964723</v>
      </c>
      <c r="AP138" s="148">
        <f t="shared" si="19"/>
        <v>176901.51404469539</v>
      </c>
      <c r="AQ138" s="148">
        <f t="shared" si="19"/>
        <v>177786.02161491889</v>
      </c>
      <c r="AR138" s="148">
        <f t="shared" si="19"/>
        <v>178674.95172299349</v>
      </c>
      <c r="AS138" s="148">
        <f t="shared" si="19"/>
        <v>179568.32648160844</v>
      </c>
      <c r="AT138" s="20" t="s">
        <v>114</v>
      </c>
    </row>
    <row r="141" spans="1:46" x14ac:dyDescent="0.25">
      <c r="A141" s="54" t="s">
        <v>115</v>
      </c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</row>
    <row r="142" spans="1:46" x14ac:dyDescent="0.25">
      <c r="A142" s="2"/>
    </row>
    <row r="143" spans="1:46" x14ac:dyDescent="0.25">
      <c r="A143" s="17" t="s">
        <v>116</v>
      </c>
      <c r="D143" s="54" t="s">
        <v>102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Z143" s="54" t="s">
        <v>92</v>
      </c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</row>
    <row r="144" spans="1:46" x14ac:dyDescent="0.25">
      <c r="D144" s="34" cm="1">
        <f t="array" ref="D144:W144">years</f>
        <v>2018</v>
      </c>
      <c r="E144" s="34">
        <v>2019</v>
      </c>
      <c r="F144" s="34">
        <v>2020</v>
      </c>
      <c r="G144" s="34">
        <v>2021</v>
      </c>
      <c r="H144" s="34">
        <v>2022</v>
      </c>
      <c r="I144" s="34">
        <v>2023</v>
      </c>
      <c r="J144" s="34">
        <v>2024</v>
      </c>
      <c r="K144" s="34">
        <v>2025</v>
      </c>
      <c r="L144" s="34">
        <v>2026</v>
      </c>
      <c r="M144" s="34">
        <v>2027</v>
      </c>
      <c r="N144" s="34">
        <v>2028</v>
      </c>
      <c r="O144" s="34">
        <v>2029</v>
      </c>
      <c r="P144" s="34">
        <v>2030</v>
      </c>
      <c r="Q144" s="34">
        <v>2031</v>
      </c>
      <c r="R144" s="34">
        <v>2032</v>
      </c>
      <c r="S144" s="34">
        <v>2033</v>
      </c>
      <c r="T144" s="34">
        <v>2034</v>
      </c>
      <c r="U144" s="34">
        <v>2035</v>
      </c>
      <c r="V144" s="34">
        <v>2036</v>
      </c>
      <c r="W144" s="34">
        <v>2037</v>
      </c>
      <c r="Z144" s="58" cm="1">
        <f t="array" ref="Z144:AS144">years</f>
        <v>2018</v>
      </c>
      <c r="AA144" s="58">
        <v>2019</v>
      </c>
      <c r="AB144" s="58">
        <v>2020</v>
      </c>
      <c r="AC144" s="58">
        <v>2021</v>
      </c>
      <c r="AD144" s="58">
        <v>2022</v>
      </c>
      <c r="AE144" s="58">
        <v>2023</v>
      </c>
      <c r="AF144" s="58">
        <v>2024</v>
      </c>
      <c r="AG144" s="58">
        <v>2025</v>
      </c>
      <c r="AH144" s="58">
        <v>2026</v>
      </c>
      <c r="AI144" s="58">
        <v>2027</v>
      </c>
      <c r="AJ144" s="58">
        <v>2028</v>
      </c>
      <c r="AK144" s="58">
        <v>2029</v>
      </c>
      <c r="AL144" s="58">
        <v>2030</v>
      </c>
      <c r="AM144" s="58">
        <v>2031</v>
      </c>
      <c r="AN144" s="58">
        <v>2032</v>
      </c>
      <c r="AO144" s="58">
        <v>2033</v>
      </c>
      <c r="AP144" s="58">
        <v>2034</v>
      </c>
      <c r="AQ144" s="58">
        <v>2035</v>
      </c>
      <c r="AR144" s="58">
        <v>2036</v>
      </c>
      <c r="AS144" s="58">
        <v>2037</v>
      </c>
    </row>
    <row r="145" spans="1:46" x14ac:dyDescent="0.25">
      <c r="A145" s="17" t="str" cm="1">
        <f t="array" ref="A145:A151">fixed_services</f>
        <v>On-net fixed to fixed traffic</v>
      </c>
      <c r="D145" s="31" cm="1">
        <f t="array" ref="D145:W151">fixed_minutes_busy_hour/sec_minute</f>
        <v>4364.5341538461544</v>
      </c>
      <c r="E145" s="31">
        <v>4399.5236923076927</v>
      </c>
      <c r="F145" s="31">
        <v>4096.9476923076927</v>
      </c>
      <c r="G145" s="31">
        <v>3869.9126153846159</v>
      </c>
      <c r="H145" s="31">
        <v>3889.262178461539</v>
      </c>
      <c r="I145" s="31">
        <v>3908.7084893538458</v>
      </c>
      <c r="J145" s="31">
        <v>3928.252031800615</v>
      </c>
      <c r="K145" s="31">
        <v>3947.8932919596173</v>
      </c>
      <c r="L145" s="31">
        <v>3967.632758419415</v>
      </c>
      <c r="M145" s="31">
        <v>3987.4709222115116</v>
      </c>
      <c r="N145" s="31">
        <v>4007.4082768225685</v>
      </c>
      <c r="O145" s="31">
        <v>4027.4453182066809</v>
      </c>
      <c r="P145" s="31">
        <v>4047.582544797714</v>
      </c>
      <c r="Q145" s="31">
        <v>4067.8204575217023</v>
      </c>
      <c r="R145" s="31">
        <v>4088.1595598093104</v>
      </c>
      <c r="S145" s="31">
        <v>4108.6003576083567</v>
      </c>
      <c r="T145" s="31">
        <v>4129.1433593963984</v>
      </c>
      <c r="U145" s="31">
        <v>4149.7890761933795</v>
      </c>
      <c r="V145" s="31">
        <v>4170.5380215743462</v>
      </c>
      <c r="W145" s="31">
        <v>4191.3907116822184</v>
      </c>
    </row>
    <row r="146" spans="1:46" x14ac:dyDescent="0.25">
      <c r="A146" s="17" t="str">
        <v>Incoming fixed to fixed traffic</v>
      </c>
      <c r="D146" s="31">
        <v>2909.6894358974369</v>
      </c>
      <c r="E146" s="31">
        <v>2933.0157948717956</v>
      </c>
      <c r="F146" s="31">
        <v>2731.2984615384621</v>
      </c>
      <c r="G146" s="31">
        <v>2579.941743589744</v>
      </c>
      <c r="H146" s="31">
        <v>2592.8414523076926</v>
      </c>
      <c r="I146" s="31">
        <v>2605.805659569231</v>
      </c>
      <c r="J146" s="31">
        <v>2618.8346878670768</v>
      </c>
      <c r="K146" s="31">
        <v>2631.9288613064118</v>
      </c>
      <c r="L146" s="31">
        <v>2645.0885056129432</v>
      </c>
      <c r="M146" s="31">
        <v>2658.313948141008</v>
      </c>
      <c r="N146" s="31">
        <v>2671.6055178817123</v>
      </c>
      <c r="O146" s="31">
        <v>2684.9635454711211</v>
      </c>
      <c r="P146" s="31">
        <v>2698.3883631984763</v>
      </c>
      <c r="Q146" s="31">
        <v>2711.8803050144684</v>
      </c>
      <c r="R146" s="31">
        <v>2725.4397065395401</v>
      </c>
      <c r="S146" s="31">
        <v>2739.0669050722372</v>
      </c>
      <c r="T146" s="31">
        <v>2752.7622395975982</v>
      </c>
      <c r="U146" s="31">
        <v>2766.5260507955854</v>
      </c>
      <c r="V146" s="31">
        <v>2780.3586810495631</v>
      </c>
      <c r="W146" s="31">
        <v>2794.2604744548112</v>
      </c>
    </row>
    <row r="147" spans="1:46" x14ac:dyDescent="0.25">
      <c r="A147" s="17" t="str">
        <v>Off-net fixed to fixed traffic</v>
      </c>
      <c r="D147" s="31">
        <v>2909.6894358974369</v>
      </c>
      <c r="E147" s="31">
        <v>2933.0157948717956</v>
      </c>
      <c r="F147" s="31">
        <v>2731.2984615384621</v>
      </c>
      <c r="G147" s="31">
        <v>2579.941743589744</v>
      </c>
      <c r="H147" s="31">
        <v>2592.8414523076926</v>
      </c>
      <c r="I147" s="31">
        <v>2605.805659569231</v>
      </c>
      <c r="J147" s="31">
        <v>2618.8346878670768</v>
      </c>
      <c r="K147" s="31">
        <v>2631.9288613064118</v>
      </c>
      <c r="L147" s="31">
        <v>2645.0885056129432</v>
      </c>
      <c r="M147" s="31">
        <v>2658.313948141008</v>
      </c>
      <c r="N147" s="31">
        <v>2671.6055178817123</v>
      </c>
      <c r="O147" s="31">
        <v>2684.9635454711211</v>
      </c>
      <c r="P147" s="31">
        <v>2698.3883631984763</v>
      </c>
      <c r="Q147" s="31">
        <v>2711.8803050144684</v>
      </c>
      <c r="R147" s="31">
        <v>2725.4397065395401</v>
      </c>
      <c r="S147" s="31">
        <v>2739.0669050722372</v>
      </c>
      <c r="T147" s="31">
        <v>2752.7622395975982</v>
      </c>
      <c r="U147" s="31">
        <v>2766.5260507955854</v>
      </c>
      <c r="V147" s="31">
        <v>2780.3586810495631</v>
      </c>
      <c r="W147" s="31">
        <v>2794.2604744548112</v>
      </c>
    </row>
    <row r="148" spans="1:46" x14ac:dyDescent="0.25">
      <c r="A148" s="17" t="str">
        <v>Fixed to Mobile Telephone traffic</v>
      </c>
      <c r="D148" s="31">
        <v>8770.7523076923098</v>
      </c>
      <c r="E148" s="31">
        <v>8541.177435897438</v>
      </c>
      <c r="F148" s="31">
        <v>9883.9076923076937</v>
      </c>
      <c r="G148" s="31">
        <v>9888.9846153846174</v>
      </c>
      <c r="H148" s="31">
        <v>9938.429538461538</v>
      </c>
      <c r="I148" s="31">
        <v>9988.1216861538433</v>
      </c>
      <c r="J148" s="31">
        <v>10038.062294584613</v>
      </c>
      <c r="K148" s="31">
        <v>10088.252606057535</v>
      </c>
      <c r="L148" s="31">
        <v>10138.69386908782</v>
      </c>
      <c r="M148" s="31">
        <v>10189.387338433258</v>
      </c>
      <c r="N148" s="31">
        <v>10240.334275125422</v>
      </c>
      <c r="O148" s="31">
        <v>10291.53594650105</v>
      </c>
      <c r="P148" s="31">
        <v>10342.993626233552</v>
      </c>
      <c r="Q148" s="31">
        <v>10394.70859436472</v>
      </c>
      <c r="R148" s="31">
        <v>10446.682137336544</v>
      </c>
      <c r="S148" s="31">
        <v>10498.915548023222</v>
      </c>
      <c r="T148" s="31">
        <v>10551.410125763337</v>
      </c>
      <c r="U148" s="31">
        <v>10604.167176392151</v>
      </c>
      <c r="V148" s="31">
        <v>10657.188012274111</v>
      </c>
      <c r="W148" s="31">
        <v>10710.473952335482</v>
      </c>
    </row>
    <row r="149" spans="1:46" x14ac:dyDescent="0.25">
      <c r="A149" s="17" t="str">
        <v>Outgoing mobile traffic to fixed networks</v>
      </c>
      <c r="D149" s="31">
        <v>2548.6892307692315</v>
      </c>
      <c r="E149" s="31">
        <v>3537.0748717948727</v>
      </c>
      <c r="F149" s="31">
        <v>4531.6461538461554</v>
      </c>
      <c r="G149" s="31">
        <v>4503.3189743589755</v>
      </c>
      <c r="H149" s="31">
        <v>4525.8355692307696</v>
      </c>
      <c r="I149" s="31">
        <v>4548.4647470769241</v>
      </c>
      <c r="J149" s="31">
        <v>4571.2070708123074</v>
      </c>
      <c r="K149" s="31">
        <v>4594.0631061663689</v>
      </c>
      <c r="L149" s="31">
        <v>4617.0334216971996</v>
      </c>
      <c r="M149" s="31">
        <v>4640.1185888056871</v>
      </c>
      <c r="N149" s="31">
        <v>4663.3191817497145</v>
      </c>
      <c r="O149" s="31">
        <v>4686.6357776584618</v>
      </c>
      <c r="P149" s="31">
        <v>4710.0689565467528</v>
      </c>
      <c r="Q149" s="31">
        <v>4733.619301329486</v>
      </c>
      <c r="R149" s="31">
        <v>4757.2873978361331</v>
      </c>
      <c r="S149" s="31">
        <v>4781.0738348253135</v>
      </c>
      <c r="T149" s="31">
        <v>4804.9792039994391</v>
      </c>
      <c r="U149" s="31">
        <v>4829.004100019436</v>
      </c>
      <c r="V149" s="31">
        <v>4853.1491205195325</v>
      </c>
      <c r="W149" s="31">
        <v>4877.4148661221288</v>
      </c>
    </row>
    <row r="150" spans="1:46" x14ac:dyDescent="0.25">
      <c r="A150" s="17" t="str">
        <v xml:space="preserve">International incoming fixed telephone traffic </v>
      </c>
      <c r="D150" s="31">
        <v>388.49892307692318</v>
      </c>
      <c r="E150" s="31">
        <v>227.01251282051285</v>
      </c>
      <c r="F150" s="31">
        <v>158.73076923076925</v>
      </c>
      <c r="G150" s="31">
        <v>74.05718974358976</v>
      </c>
      <c r="H150" s="31">
        <v>74.427475692307709</v>
      </c>
      <c r="I150" s="31">
        <v>74.79961307076924</v>
      </c>
      <c r="J150" s="31">
        <v>75.173611136123071</v>
      </c>
      <c r="K150" s="31">
        <v>75.54947919180367</v>
      </c>
      <c r="L150" s="31">
        <v>75.927226587762689</v>
      </c>
      <c r="M150" s="31">
        <v>76.306862720701488</v>
      </c>
      <c r="N150" s="31">
        <v>76.688397034304984</v>
      </c>
      <c r="O150" s="31">
        <v>77.071839019476513</v>
      </c>
      <c r="P150" s="31">
        <v>77.457198214573879</v>
      </c>
      <c r="Q150" s="31">
        <v>77.844484205646751</v>
      </c>
      <c r="R150" s="31">
        <v>78.233706626674987</v>
      </c>
      <c r="S150" s="31">
        <v>78.62487515980834</v>
      </c>
      <c r="T150" s="31">
        <v>79.017999535607387</v>
      </c>
      <c r="U150" s="31">
        <v>79.413089533285401</v>
      </c>
      <c r="V150" s="31">
        <v>79.810154980951836</v>
      </c>
      <c r="W150" s="31">
        <v>80.209205755856573</v>
      </c>
    </row>
    <row r="151" spans="1:46" x14ac:dyDescent="0.25">
      <c r="A151" s="17" t="str">
        <v>International outgoing fixed telephone traffic</v>
      </c>
      <c r="D151" s="31">
        <v>383.83261538461545</v>
      </c>
      <c r="E151" s="31">
        <v>114.6073025641026</v>
      </c>
      <c r="F151" s="31">
        <v>125.56230769230773</v>
      </c>
      <c r="G151" s="31">
        <v>106.55770256410258</v>
      </c>
      <c r="H151" s="31">
        <v>107.0904910769231</v>
      </c>
      <c r="I151" s="31">
        <v>107.6259435323077</v>
      </c>
      <c r="J151" s="31">
        <v>108.16407324996922</v>
      </c>
      <c r="K151" s="31">
        <v>108.70489361621907</v>
      </c>
      <c r="L151" s="31">
        <v>109.24841808430014</v>
      </c>
      <c r="M151" s="31">
        <v>109.79466017472164</v>
      </c>
      <c r="N151" s="31">
        <v>110.34363347559521</v>
      </c>
      <c r="O151" s="31">
        <v>110.89535164297318</v>
      </c>
      <c r="P151" s="31">
        <v>111.44982840118804</v>
      </c>
      <c r="Q151" s="31">
        <v>112.00707754319396</v>
      </c>
      <c r="R151" s="31">
        <v>112.56711293090993</v>
      </c>
      <c r="S151" s="31">
        <v>113.12994849556445</v>
      </c>
      <c r="T151" s="31">
        <v>113.69559823804227</v>
      </c>
      <c r="U151" s="31">
        <v>114.26407622923247</v>
      </c>
      <c r="V151" s="31">
        <v>114.83539661037864</v>
      </c>
      <c r="W151" s="31">
        <v>115.40957359343051</v>
      </c>
      <c r="X151" s="20"/>
    </row>
    <row r="152" spans="1:46" x14ac:dyDescent="0.25"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20"/>
    </row>
    <row r="153" spans="1:46" x14ac:dyDescent="0.25">
      <c r="A153" s="17" t="s">
        <v>117</v>
      </c>
      <c r="D153" s="31">
        <f>SUM(D145:D151)</f>
        <v>22275.686102564108</v>
      </c>
      <c r="E153" s="31">
        <f t="shared" ref="E153:W153" si="20">SUM(E145:E151)</f>
        <v>22685.427405128212</v>
      </c>
      <c r="F153" s="31">
        <f t="shared" si="20"/>
        <v>24259.391538461543</v>
      </c>
      <c r="G153" s="31">
        <f t="shared" si="20"/>
        <v>23602.714584615391</v>
      </c>
      <c r="H153" s="31">
        <f t="shared" si="20"/>
        <v>23720.728157538462</v>
      </c>
      <c r="I153" s="31">
        <f t="shared" si="20"/>
        <v>23839.331798326151</v>
      </c>
      <c r="J153" s="31">
        <f t="shared" si="20"/>
        <v>23958.528457317781</v>
      </c>
      <c r="K153" s="31">
        <f t="shared" si="20"/>
        <v>24078.321099604367</v>
      </c>
      <c r="L153" s="31">
        <f t="shared" si="20"/>
        <v>24198.712705102382</v>
      </c>
      <c r="M153" s="31">
        <f t="shared" si="20"/>
        <v>24319.706268627895</v>
      </c>
      <c r="N153" s="31">
        <f t="shared" si="20"/>
        <v>24441.304799971032</v>
      </c>
      <c r="O153" s="31">
        <f t="shared" si="20"/>
        <v>24563.511323970884</v>
      </c>
      <c r="P153" s="31">
        <f t="shared" si="20"/>
        <v>24686.328880590736</v>
      </c>
      <c r="Q153" s="31">
        <f t="shared" si="20"/>
        <v>24809.760524993686</v>
      </c>
      <c r="R153" s="31">
        <f t="shared" si="20"/>
        <v>24933.809327618648</v>
      </c>
      <c r="S153" s="31">
        <f t="shared" si="20"/>
        <v>25058.478374256738</v>
      </c>
      <c r="T153" s="31">
        <f t="shared" si="20"/>
        <v>25183.770766128022</v>
      </c>
      <c r="U153" s="31">
        <f t="shared" si="20"/>
        <v>25309.689619958655</v>
      </c>
      <c r="V153" s="31">
        <f t="shared" si="20"/>
        <v>25436.23806805845</v>
      </c>
      <c r="W153" s="31">
        <f t="shared" si="20"/>
        <v>25563.419258398739</v>
      </c>
      <c r="X153" s="20" t="s">
        <v>118</v>
      </c>
      <c r="Z153" s="148">
        <f t="shared" ref="Z153:AS153" si="21">D153-D146-D148-D149</f>
        <v>8046.555128205132</v>
      </c>
      <c r="AA153" s="148">
        <f t="shared" si="21"/>
        <v>7674.1593025641041</v>
      </c>
      <c r="AB153" s="148">
        <f t="shared" si="21"/>
        <v>7112.5392307692309</v>
      </c>
      <c r="AC153" s="148">
        <f t="shared" si="21"/>
        <v>6630.4692512820529</v>
      </c>
      <c r="AD153" s="148">
        <f t="shared" si="21"/>
        <v>6663.6215975384612</v>
      </c>
      <c r="AE153" s="148">
        <f t="shared" si="21"/>
        <v>6696.9397055261516</v>
      </c>
      <c r="AF153" s="148">
        <f t="shared" si="21"/>
        <v>6730.4244040537824</v>
      </c>
      <c r="AG153" s="148">
        <f t="shared" si="21"/>
        <v>6764.0765260740509</v>
      </c>
      <c r="AH153" s="148">
        <f t="shared" si="21"/>
        <v>6797.8969087044179</v>
      </c>
      <c r="AI153" s="148">
        <f t="shared" si="21"/>
        <v>6831.8863932479426</v>
      </c>
      <c r="AJ153" s="148">
        <f t="shared" si="21"/>
        <v>6866.0458252141843</v>
      </c>
      <c r="AK153" s="148">
        <f t="shared" si="21"/>
        <v>6900.3760543402523</v>
      </c>
      <c r="AL153" s="148">
        <f t="shared" si="21"/>
        <v>6934.8779346119554</v>
      </c>
      <c r="AM153" s="148">
        <f t="shared" si="21"/>
        <v>6969.5523242850131</v>
      </c>
      <c r="AN153" s="148">
        <f t="shared" si="21"/>
        <v>7004.4000859064327</v>
      </c>
      <c r="AO153" s="148">
        <f t="shared" si="21"/>
        <v>7039.4220863359669</v>
      </c>
      <c r="AP153" s="148">
        <f t="shared" si="21"/>
        <v>7074.6191967676459</v>
      </c>
      <c r="AQ153" s="148">
        <f t="shared" si="21"/>
        <v>7109.9922927514817</v>
      </c>
      <c r="AR153" s="148">
        <f t="shared" si="21"/>
        <v>7145.5422542152446</v>
      </c>
      <c r="AS153" s="148">
        <f t="shared" si="21"/>
        <v>7181.2699654863163</v>
      </c>
      <c r="AT153" s="20" t="s">
        <v>119</v>
      </c>
    </row>
    <row r="154" spans="1:46" x14ac:dyDescent="0.25"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20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20"/>
    </row>
    <row r="155" spans="1:46" x14ac:dyDescent="0.25">
      <c r="A155" s="17" t="s">
        <v>120</v>
      </c>
      <c r="D155" s="54" t="s">
        <v>102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Z155" s="54" t="s">
        <v>92</v>
      </c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</row>
    <row r="156" spans="1:46" x14ac:dyDescent="0.25">
      <c r="D156" s="34" cm="1">
        <f t="array" ref="D156:W156">years</f>
        <v>2018</v>
      </c>
      <c r="E156" s="34">
        <v>2019</v>
      </c>
      <c r="F156" s="34">
        <v>2020</v>
      </c>
      <c r="G156" s="34">
        <v>2021</v>
      </c>
      <c r="H156" s="34">
        <v>2022</v>
      </c>
      <c r="I156" s="34">
        <v>2023</v>
      </c>
      <c r="J156" s="34">
        <v>2024</v>
      </c>
      <c r="K156" s="34">
        <v>2025</v>
      </c>
      <c r="L156" s="34">
        <v>2026</v>
      </c>
      <c r="M156" s="34">
        <v>2027</v>
      </c>
      <c r="N156" s="34">
        <v>2028</v>
      </c>
      <c r="O156" s="34">
        <v>2029</v>
      </c>
      <c r="P156" s="34">
        <v>2030</v>
      </c>
      <c r="Q156" s="34">
        <v>2031</v>
      </c>
      <c r="R156" s="34">
        <v>2032</v>
      </c>
      <c r="S156" s="34">
        <v>2033</v>
      </c>
      <c r="T156" s="34">
        <v>2034</v>
      </c>
      <c r="U156" s="34">
        <v>2035</v>
      </c>
      <c r="V156" s="34">
        <v>2036</v>
      </c>
      <c r="W156" s="34">
        <v>2037</v>
      </c>
      <c r="Z156" s="58" cm="1">
        <f t="array" ref="Z156:AS156">years</f>
        <v>2018</v>
      </c>
      <c r="AA156" s="58">
        <v>2019</v>
      </c>
      <c r="AB156" s="58">
        <v>2020</v>
      </c>
      <c r="AC156" s="58">
        <v>2021</v>
      </c>
      <c r="AD156" s="58">
        <v>2022</v>
      </c>
      <c r="AE156" s="58">
        <v>2023</v>
      </c>
      <c r="AF156" s="58">
        <v>2024</v>
      </c>
      <c r="AG156" s="58">
        <v>2025</v>
      </c>
      <c r="AH156" s="58">
        <v>2026</v>
      </c>
      <c r="AI156" s="58">
        <v>2027</v>
      </c>
      <c r="AJ156" s="58">
        <v>2028</v>
      </c>
      <c r="AK156" s="58">
        <v>2029</v>
      </c>
      <c r="AL156" s="58">
        <v>2030</v>
      </c>
      <c r="AM156" s="58">
        <v>2031</v>
      </c>
      <c r="AN156" s="58">
        <v>2032</v>
      </c>
      <c r="AO156" s="58">
        <v>2033</v>
      </c>
      <c r="AP156" s="58">
        <v>2034</v>
      </c>
      <c r="AQ156" s="58">
        <v>2035</v>
      </c>
      <c r="AR156" s="58">
        <v>2036</v>
      </c>
      <c r="AS156" s="58">
        <v>2037</v>
      </c>
    </row>
    <row r="157" spans="1:46" x14ac:dyDescent="0.25">
      <c r="A157" s="17" t="str" cm="1">
        <f t="array" ref="A157:A163">fixed_services</f>
        <v>On-net fixed to fixed traffic</v>
      </c>
      <c r="D157" s="31" cm="1">
        <f t="array" ref="D157:W163">fixed_minutes_busy_hour_onnet_factor/sec_minute</f>
        <v>8729.0683076923087</v>
      </c>
      <c r="E157" s="31">
        <v>8799.0473846153855</v>
      </c>
      <c r="F157" s="31">
        <v>8193.8953846153854</v>
      </c>
      <c r="G157" s="31">
        <v>7739.8252307692319</v>
      </c>
      <c r="H157" s="31">
        <v>7778.5243569230779</v>
      </c>
      <c r="I157" s="31">
        <v>7817.4169787076917</v>
      </c>
      <c r="J157" s="31">
        <v>7856.50406360123</v>
      </c>
      <c r="K157" s="31">
        <v>7895.7865839192345</v>
      </c>
      <c r="L157" s="31">
        <v>7935.2655168388301</v>
      </c>
      <c r="M157" s="31">
        <v>7974.9418444230232</v>
      </c>
      <c r="N157" s="31">
        <v>8014.816553645137</v>
      </c>
      <c r="O157" s="31">
        <v>8054.8906364133618</v>
      </c>
      <c r="P157" s="31">
        <v>8095.1650895954281</v>
      </c>
      <c r="Q157" s="31">
        <v>8135.6409150434047</v>
      </c>
      <c r="R157" s="31">
        <v>8176.3191196186208</v>
      </c>
      <c r="S157" s="31">
        <v>8217.2007152167134</v>
      </c>
      <c r="T157" s="31">
        <v>8258.2867187927968</v>
      </c>
      <c r="U157" s="31">
        <v>8299.578152386759</v>
      </c>
      <c r="V157" s="31">
        <v>8341.0760431486924</v>
      </c>
      <c r="W157" s="31">
        <v>8382.7814233644367</v>
      </c>
    </row>
    <row r="158" spans="1:46" x14ac:dyDescent="0.25">
      <c r="A158" s="17" t="str">
        <v>Incoming fixed to fixed traffic</v>
      </c>
      <c r="D158" s="31">
        <v>2909.6894358974369</v>
      </c>
      <c r="E158" s="31">
        <v>2933.0157948717956</v>
      </c>
      <c r="F158" s="31">
        <v>2731.2984615384621</v>
      </c>
      <c r="G158" s="31">
        <v>2579.941743589744</v>
      </c>
      <c r="H158" s="31">
        <v>2592.8414523076926</v>
      </c>
      <c r="I158" s="31">
        <v>2605.805659569231</v>
      </c>
      <c r="J158" s="31">
        <v>2618.8346878670768</v>
      </c>
      <c r="K158" s="31">
        <v>2631.9288613064118</v>
      </c>
      <c r="L158" s="31">
        <v>2645.0885056129432</v>
      </c>
      <c r="M158" s="31">
        <v>2658.313948141008</v>
      </c>
      <c r="N158" s="31">
        <v>2671.6055178817123</v>
      </c>
      <c r="O158" s="31">
        <v>2684.9635454711211</v>
      </c>
      <c r="P158" s="31">
        <v>2698.3883631984763</v>
      </c>
      <c r="Q158" s="31">
        <v>2711.8803050144684</v>
      </c>
      <c r="R158" s="31">
        <v>2725.4397065395401</v>
      </c>
      <c r="S158" s="31">
        <v>2739.0669050722372</v>
      </c>
      <c r="T158" s="31">
        <v>2752.7622395975982</v>
      </c>
      <c r="U158" s="31">
        <v>2766.5260507955854</v>
      </c>
      <c r="V158" s="31">
        <v>2780.3586810495631</v>
      </c>
      <c r="W158" s="31">
        <v>2794.2604744548112</v>
      </c>
    </row>
    <row r="159" spans="1:46" x14ac:dyDescent="0.25">
      <c r="A159" s="17" t="str">
        <v>Off-net fixed to fixed traffic</v>
      </c>
      <c r="D159" s="31">
        <v>2909.6894358974369</v>
      </c>
      <c r="E159" s="31">
        <v>2933.0157948717956</v>
      </c>
      <c r="F159" s="31">
        <v>2731.2984615384621</v>
      </c>
      <c r="G159" s="31">
        <v>2579.941743589744</v>
      </c>
      <c r="H159" s="31">
        <v>2592.8414523076926</v>
      </c>
      <c r="I159" s="31">
        <v>2605.805659569231</v>
      </c>
      <c r="J159" s="31">
        <v>2618.8346878670768</v>
      </c>
      <c r="K159" s="31">
        <v>2631.9288613064118</v>
      </c>
      <c r="L159" s="31">
        <v>2645.0885056129432</v>
      </c>
      <c r="M159" s="31">
        <v>2658.313948141008</v>
      </c>
      <c r="N159" s="31">
        <v>2671.6055178817123</v>
      </c>
      <c r="O159" s="31">
        <v>2684.9635454711211</v>
      </c>
      <c r="P159" s="31">
        <v>2698.3883631984763</v>
      </c>
      <c r="Q159" s="31">
        <v>2711.8803050144684</v>
      </c>
      <c r="R159" s="31">
        <v>2725.4397065395401</v>
      </c>
      <c r="S159" s="31">
        <v>2739.0669050722372</v>
      </c>
      <c r="T159" s="31">
        <v>2752.7622395975982</v>
      </c>
      <c r="U159" s="31">
        <v>2766.5260507955854</v>
      </c>
      <c r="V159" s="31">
        <v>2780.3586810495631</v>
      </c>
      <c r="W159" s="31">
        <v>2794.2604744548112</v>
      </c>
    </row>
    <row r="160" spans="1:46" x14ac:dyDescent="0.25">
      <c r="A160" s="17" t="str">
        <v>Fixed to Mobile Telephone traffic</v>
      </c>
      <c r="D160" s="31">
        <v>8770.7523076923098</v>
      </c>
      <c r="E160" s="31">
        <v>8541.177435897438</v>
      </c>
      <c r="F160" s="31">
        <v>9883.9076923076937</v>
      </c>
      <c r="G160" s="31">
        <v>9888.9846153846174</v>
      </c>
      <c r="H160" s="31">
        <v>9938.429538461538</v>
      </c>
      <c r="I160" s="31">
        <v>9988.1216861538433</v>
      </c>
      <c r="J160" s="31">
        <v>10038.062294584613</v>
      </c>
      <c r="K160" s="31">
        <v>10088.252606057535</v>
      </c>
      <c r="L160" s="31">
        <v>10138.69386908782</v>
      </c>
      <c r="M160" s="31">
        <v>10189.387338433258</v>
      </c>
      <c r="N160" s="31">
        <v>10240.334275125422</v>
      </c>
      <c r="O160" s="31">
        <v>10291.53594650105</v>
      </c>
      <c r="P160" s="31">
        <v>10342.993626233552</v>
      </c>
      <c r="Q160" s="31">
        <v>10394.70859436472</v>
      </c>
      <c r="R160" s="31">
        <v>10446.682137336544</v>
      </c>
      <c r="S160" s="31">
        <v>10498.915548023222</v>
      </c>
      <c r="T160" s="31">
        <v>10551.410125763337</v>
      </c>
      <c r="U160" s="31">
        <v>10604.167176392151</v>
      </c>
      <c r="V160" s="31">
        <v>10657.188012274111</v>
      </c>
      <c r="W160" s="31">
        <v>10710.473952335482</v>
      </c>
    </row>
    <row r="161" spans="1:46" x14ac:dyDescent="0.25">
      <c r="A161" s="17" t="str">
        <v>Outgoing mobile traffic to fixed networks</v>
      </c>
      <c r="D161" s="31">
        <v>2548.6892307692315</v>
      </c>
      <c r="E161" s="31">
        <v>3537.0748717948727</v>
      </c>
      <c r="F161" s="31">
        <v>4531.6461538461554</v>
      </c>
      <c r="G161" s="31">
        <v>4503.3189743589755</v>
      </c>
      <c r="H161" s="31">
        <v>4525.8355692307696</v>
      </c>
      <c r="I161" s="31">
        <v>4548.4647470769241</v>
      </c>
      <c r="J161" s="31">
        <v>4571.2070708123074</v>
      </c>
      <c r="K161" s="31">
        <v>4594.0631061663689</v>
      </c>
      <c r="L161" s="31">
        <v>4617.0334216971996</v>
      </c>
      <c r="M161" s="31">
        <v>4640.1185888056871</v>
      </c>
      <c r="N161" s="31">
        <v>4663.3191817497145</v>
      </c>
      <c r="O161" s="31">
        <v>4686.6357776584618</v>
      </c>
      <c r="P161" s="31">
        <v>4710.0689565467528</v>
      </c>
      <c r="Q161" s="31">
        <v>4733.619301329486</v>
      </c>
      <c r="R161" s="31">
        <v>4757.2873978361331</v>
      </c>
      <c r="S161" s="31">
        <v>4781.0738348253135</v>
      </c>
      <c r="T161" s="31">
        <v>4804.9792039994391</v>
      </c>
      <c r="U161" s="31">
        <v>4829.004100019436</v>
      </c>
      <c r="V161" s="31">
        <v>4853.1491205195325</v>
      </c>
      <c r="W161" s="31">
        <v>4877.4148661221288</v>
      </c>
    </row>
    <row r="162" spans="1:46" x14ac:dyDescent="0.25">
      <c r="A162" s="17" t="str">
        <v xml:space="preserve">International incoming fixed telephone traffic </v>
      </c>
      <c r="D162" s="31">
        <v>388.49892307692318</v>
      </c>
      <c r="E162" s="31">
        <v>227.01251282051285</v>
      </c>
      <c r="F162" s="31">
        <v>158.73076923076925</v>
      </c>
      <c r="G162" s="31">
        <v>74.05718974358976</v>
      </c>
      <c r="H162" s="31">
        <v>74.427475692307709</v>
      </c>
      <c r="I162" s="31">
        <v>74.79961307076924</v>
      </c>
      <c r="J162" s="31">
        <v>75.173611136123071</v>
      </c>
      <c r="K162" s="31">
        <v>75.54947919180367</v>
      </c>
      <c r="L162" s="31">
        <v>75.927226587762689</v>
      </c>
      <c r="M162" s="31">
        <v>76.306862720701488</v>
      </c>
      <c r="N162" s="31">
        <v>76.688397034304984</v>
      </c>
      <c r="O162" s="31">
        <v>77.071839019476513</v>
      </c>
      <c r="P162" s="31">
        <v>77.457198214573879</v>
      </c>
      <c r="Q162" s="31">
        <v>77.844484205646751</v>
      </c>
      <c r="R162" s="31">
        <v>78.233706626674987</v>
      </c>
      <c r="S162" s="31">
        <v>78.62487515980834</v>
      </c>
      <c r="T162" s="31">
        <v>79.017999535607387</v>
      </c>
      <c r="U162" s="31">
        <v>79.413089533285401</v>
      </c>
      <c r="V162" s="31">
        <v>79.810154980951836</v>
      </c>
      <c r="W162" s="31">
        <v>80.209205755856573</v>
      </c>
    </row>
    <row r="163" spans="1:46" x14ac:dyDescent="0.25">
      <c r="A163" s="17" t="str">
        <v>International outgoing fixed telephone traffic</v>
      </c>
      <c r="D163" s="31">
        <v>383.83261538461545</v>
      </c>
      <c r="E163" s="31">
        <v>114.6073025641026</v>
      </c>
      <c r="F163" s="31">
        <v>125.56230769230773</v>
      </c>
      <c r="G163" s="31">
        <v>106.55770256410258</v>
      </c>
      <c r="H163" s="31">
        <v>107.0904910769231</v>
      </c>
      <c r="I163" s="31">
        <v>107.6259435323077</v>
      </c>
      <c r="J163" s="31">
        <v>108.16407324996922</v>
      </c>
      <c r="K163" s="31">
        <v>108.70489361621907</v>
      </c>
      <c r="L163" s="31">
        <v>109.24841808430014</v>
      </c>
      <c r="M163" s="31">
        <v>109.79466017472164</v>
      </c>
      <c r="N163" s="31">
        <v>110.34363347559521</v>
      </c>
      <c r="O163" s="31">
        <v>110.89535164297318</v>
      </c>
      <c r="P163" s="31">
        <v>111.44982840118804</v>
      </c>
      <c r="Q163" s="31">
        <v>112.00707754319396</v>
      </c>
      <c r="R163" s="31">
        <v>112.56711293090993</v>
      </c>
      <c r="S163" s="31">
        <v>113.12994849556445</v>
      </c>
      <c r="T163" s="31">
        <v>113.69559823804227</v>
      </c>
      <c r="U163" s="31">
        <v>114.26407622923247</v>
      </c>
      <c r="V163" s="31">
        <v>114.83539661037864</v>
      </c>
      <c r="W163" s="31">
        <v>115.40957359343051</v>
      </c>
      <c r="X163" s="20"/>
    </row>
    <row r="164" spans="1:46" x14ac:dyDescent="0.25"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20"/>
    </row>
    <row r="165" spans="1:46" x14ac:dyDescent="0.25">
      <c r="A165" s="17" t="s">
        <v>121</v>
      </c>
      <c r="D165" s="31">
        <f>SUM(D157:D163)</f>
        <v>26640.220256410263</v>
      </c>
      <c r="E165" s="31">
        <f t="shared" ref="E165:W165" si="22">SUM(E157:E163)</f>
        <v>27084.951097435904</v>
      </c>
      <c r="F165" s="31">
        <f t="shared" si="22"/>
        <v>28356.339230769237</v>
      </c>
      <c r="G165" s="31">
        <f t="shared" si="22"/>
        <v>27472.627200000006</v>
      </c>
      <c r="H165" s="31">
        <f t="shared" si="22"/>
        <v>27609.990336000003</v>
      </c>
      <c r="I165" s="31">
        <f t="shared" si="22"/>
        <v>27748.040287679996</v>
      </c>
      <c r="J165" s="31">
        <f t="shared" si="22"/>
        <v>27886.780489118395</v>
      </c>
      <c r="K165" s="31">
        <f t="shared" si="22"/>
        <v>28026.214391563986</v>
      </c>
      <c r="L165" s="31">
        <f t="shared" si="22"/>
        <v>28166.345463521797</v>
      </c>
      <c r="M165" s="31">
        <f t="shared" si="22"/>
        <v>28307.177190839408</v>
      </c>
      <c r="N165" s="31">
        <f t="shared" si="22"/>
        <v>28448.713076793596</v>
      </c>
      <c r="O165" s="31">
        <f t="shared" si="22"/>
        <v>28590.956642177567</v>
      </c>
      <c r="P165" s="31">
        <f t="shared" si="22"/>
        <v>28733.911425388455</v>
      </c>
      <c r="Q165" s="31">
        <f t="shared" si="22"/>
        <v>28877.580982515388</v>
      </c>
      <c r="R165" s="31">
        <f t="shared" si="22"/>
        <v>29021.96888742796</v>
      </c>
      <c r="S165" s="31">
        <f t="shared" si="22"/>
        <v>29167.078731865095</v>
      </c>
      <c r="T165" s="31">
        <f t="shared" si="22"/>
        <v>29312.914125524418</v>
      </c>
      <c r="U165" s="31">
        <f t="shared" si="22"/>
        <v>29459.478696152037</v>
      </c>
      <c r="V165" s="31">
        <f t="shared" si="22"/>
        <v>29606.776089632793</v>
      </c>
      <c r="W165" s="31">
        <f t="shared" si="22"/>
        <v>29754.809970080958</v>
      </c>
      <c r="X165" s="20" t="s">
        <v>122</v>
      </c>
      <c r="Z165" s="148">
        <f t="shared" ref="Z165:AS165" si="23">D165-D158-D160-D161</f>
        <v>12411.089282051282</v>
      </c>
      <c r="AA165" s="148">
        <f t="shared" si="23"/>
        <v>12073.682994871797</v>
      </c>
      <c r="AB165" s="148">
        <f t="shared" si="23"/>
        <v>11209.486923076925</v>
      </c>
      <c r="AC165" s="148">
        <f t="shared" si="23"/>
        <v>10500.381866666668</v>
      </c>
      <c r="AD165" s="148">
        <f t="shared" si="23"/>
        <v>10552.883776000002</v>
      </c>
      <c r="AE165" s="148">
        <f t="shared" si="23"/>
        <v>10605.648194879996</v>
      </c>
      <c r="AF165" s="148">
        <f t="shared" si="23"/>
        <v>10658.676435854395</v>
      </c>
      <c r="AG165" s="148">
        <f t="shared" si="23"/>
        <v>10711.969818033671</v>
      </c>
      <c r="AH165" s="148">
        <f t="shared" si="23"/>
        <v>10765.529667123832</v>
      </c>
      <c r="AI165" s="148">
        <f t="shared" si="23"/>
        <v>10819.357315459456</v>
      </c>
      <c r="AJ165" s="148">
        <f t="shared" si="23"/>
        <v>10873.454102036747</v>
      </c>
      <c r="AK165" s="148">
        <f t="shared" si="23"/>
        <v>10927.821372546936</v>
      </c>
      <c r="AL165" s="148">
        <f t="shared" si="23"/>
        <v>10982.460479409674</v>
      </c>
      <c r="AM165" s="148">
        <f t="shared" si="23"/>
        <v>11037.372781806716</v>
      </c>
      <c r="AN165" s="148">
        <f t="shared" si="23"/>
        <v>11092.559645715744</v>
      </c>
      <c r="AO165" s="148">
        <f t="shared" si="23"/>
        <v>11148.022443944319</v>
      </c>
      <c r="AP165" s="148">
        <f t="shared" si="23"/>
        <v>11203.762556164042</v>
      </c>
      <c r="AQ165" s="148">
        <f t="shared" si="23"/>
        <v>11259.781368944863</v>
      </c>
      <c r="AR165" s="148">
        <f t="shared" si="23"/>
        <v>11316.080275789587</v>
      </c>
      <c r="AS165" s="148">
        <f t="shared" si="23"/>
        <v>11372.660677168536</v>
      </c>
      <c r="AT165" s="20" t="s">
        <v>123</v>
      </c>
    </row>
    <row r="167" spans="1:46" s="54" customFormat="1" x14ac:dyDescent="0.25">
      <c r="A167" s="54" t="s">
        <v>124</v>
      </c>
    </row>
    <row r="169" spans="1:46" x14ac:dyDescent="0.25">
      <c r="A169"/>
      <c r="C169"/>
      <c r="D169" s="34" cm="1">
        <f t="array" ref="D169:W169">years</f>
        <v>2018</v>
      </c>
      <c r="E169" s="34">
        <v>2019</v>
      </c>
      <c r="F169" s="34">
        <v>2020</v>
      </c>
      <c r="G169" s="34">
        <v>2021</v>
      </c>
      <c r="H169" s="34">
        <v>2022</v>
      </c>
      <c r="I169" s="34">
        <v>2023</v>
      </c>
      <c r="J169" s="34">
        <v>2024</v>
      </c>
      <c r="K169" s="34">
        <v>2025</v>
      </c>
      <c r="L169" s="34">
        <v>2026</v>
      </c>
      <c r="M169" s="34">
        <v>2027</v>
      </c>
      <c r="N169" s="34">
        <v>2028</v>
      </c>
      <c r="O169" s="34">
        <v>2029</v>
      </c>
      <c r="P169" s="34">
        <v>2030</v>
      </c>
      <c r="Q169" s="34">
        <v>2031</v>
      </c>
      <c r="R169" s="34">
        <v>2032</v>
      </c>
      <c r="S169" s="34">
        <v>2033</v>
      </c>
      <c r="T169" s="34">
        <v>2034</v>
      </c>
      <c r="U169" s="34">
        <v>2035</v>
      </c>
      <c r="V169" s="34">
        <v>2036</v>
      </c>
      <c r="W169" s="34">
        <v>2037</v>
      </c>
    </row>
    <row r="170" spans="1:46" x14ac:dyDescent="0.25">
      <c r="A170" s="17" t="s">
        <v>125</v>
      </c>
      <c r="B170" s="17" t="s">
        <v>126</v>
      </c>
      <c r="D170" s="21">
        <f t="shared" ref="D170:W170" si="24">D66+D69+D70</f>
        <v>1140141130</v>
      </c>
      <c r="E170" s="21">
        <f t="shared" si="24"/>
        <v>1305935120</v>
      </c>
      <c r="F170" s="21">
        <f t="shared" si="24"/>
        <v>1447226700</v>
      </c>
      <c r="G170" s="21">
        <f t="shared" si="24"/>
        <v>1395676992</v>
      </c>
      <c r="H170" s="21">
        <f t="shared" si="24"/>
        <v>1402655376.9599998</v>
      </c>
      <c r="I170" s="21">
        <f t="shared" si="24"/>
        <v>1409668653.8448</v>
      </c>
      <c r="J170" s="21">
        <f t="shared" si="24"/>
        <v>1416716997.1140237</v>
      </c>
      <c r="K170" s="21">
        <f t="shared" si="24"/>
        <v>1423800582.0995934</v>
      </c>
      <c r="L170" s="21">
        <f t="shared" si="24"/>
        <v>1430919585.0100913</v>
      </c>
      <c r="M170" s="21">
        <f t="shared" si="24"/>
        <v>1438074182.9351418</v>
      </c>
      <c r="N170" s="21">
        <f t="shared" si="24"/>
        <v>1445264553.8498173</v>
      </c>
      <c r="O170" s="21">
        <f t="shared" si="24"/>
        <v>1452490876.6190662</v>
      </c>
      <c r="P170" s="21">
        <f t="shared" si="24"/>
        <v>1459753331.0021613</v>
      </c>
      <c r="Q170" s="21">
        <f t="shared" si="24"/>
        <v>1467052097.657172</v>
      </c>
      <c r="R170" s="21">
        <f t="shared" si="24"/>
        <v>1474387358.1454575</v>
      </c>
      <c r="S170" s="21">
        <f t="shared" si="24"/>
        <v>1481759294.9361849</v>
      </c>
      <c r="T170" s="21">
        <f t="shared" si="24"/>
        <v>1489168091.4108653</v>
      </c>
      <c r="U170" s="21">
        <f t="shared" si="24"/>
        <v>1496613931.8679194</v>
      </c>
      <c r="V170" s="21">
        <f t="shared" si="24"/>
        <v>1504097001.5272591</v>
      </c>
      <c r="W170" s="21">
        <f t="shared" si="24"/>
        <v>1511617486.5348952</v>
      </c>
      <c r="X170" s="20" t="s">
        <v>127</v>
      </c>
      <c r="Y170" s="28"/>
      <c r="Z170" s="28"/>
      <c r="AA170" s="28"/>
      <c r="AB170" s="28"/>
      <c r="AC170" s="28"/>
    </row>
  </sheetData>
  <phoneticPr fontId="1" type="noConversion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BD908-4D53-4693-ADEE-DCA449317818}">
  <dimension ref="A1:AT60"/>
  <sheetViews>
    <sheetView zoomScale="85" zoomScaleNormal="85" workbookViewId="0">
      <selection sqref="A1:XFD1"/>
    </sheetView>
  </sheetViews>
  <sheetFormatPr defaultColWidth="8.5703125" defaultRowHeight="15" x14ac:dyDescent="0.25"/>
  <cols>
    <col min="1" max="1" width="67.5703125" style="17" customWidth="1"/>
    <col min="2" max="2" width="38.5703125" style="17" bestFit="1" customWidth="1"/>
    <col min="3" max="3" width="17.5703125" style="17" bestFit="1" customWidth="1"/>
    <col min="4" max="23" width="10.7109375" style="17" customWidth="1"/>
    <col min="24" max="24" width="45.7109375" style="17" customWidth="1"/>
    <col min="25" max="25" width="12.42578125" style="17" bestFit="1" customWidth="1"/>
    <col min="26" max="45" width="10.7109375" style="17" customWidth="1"/>
    <col min="46" max="16384" width="8.5703125" style="17"/>
  </cols>
  <sheetData>
    <row r="1" spans="1:45" ht="18.75" x14ac:dyDescent="0.3">
      <c r="A1" s="98" t="s">
        <v>128</v>
      </c>
      <c r="B1" s="98"/>
      <c r="C1" s="98"/>
      <c r="D1" s="100"/>
      <c r="E1" s="100"/>
      <c r="F1" s="100"/>
      <c r="G1" s="100"/>
      <c r="H1" s="100"/>
      <c r="I1" s="100"/>
      <c r="J1" s="100"/>
      <c r="K1" s="100"/>
      <c r="L1" s="100"/>
    </row>
    <row r="3" spans="1:45" x14ac:dyDescent="0.25">
      <c r="A3" s="23" t="s">
        <v>129</v>
      </c>
    </row>
    <row r="4" spans="1:45" x14ac:dyDescent="0.25">
      <c r="A4" s="23"/>
    </row>
    <row r="5" spans="1:45" x14ac:dyDescent="0.25">
      <c r="A5" s="23" t="s">
        <v>130</v>
      </c>
      <c r="C5" s="11">
        <v>0.8</v>
      </c>
      <c r="D5" s="20" t="s">
        <v>131</v>
      </c>
    </row>
    <row r="6" spans="1:45" x14ac:dyDescent="0.25">
      <c r="A6" s="17" t="s">
        <v>132</v>
      </c>
      <c r="B6" s="23"/>
      <c r="C6" s="11">
        <v>2</v>
      </c>
      <c r="D6" s="20" t="s">
        <v>133</v>
      </c>
    </row>
    <row r="7" spans="1:45" x14ac:dyDescent="0.25">
      <c r="A7" s="26"/>
    </row>
    <row r="8" spans="1:45" x14ac:dyDescent="0.25">
      <c r="D8" s="54" t="s">
        <v>102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Z8" s="54" t="s">
        <v>134</v>
      </c>
      <c r="AA8" s="55"/>
      <c r="AB8" s="55"/>
      <c r="AC8" s="55"/>
      <c r="AD8" s="55"/>
      <c r="AE8" s="55"/>
      <c r="AF8" s="55"/>
      <c r="AG8" s="55"/>
      <c r="AH8" s="55"/>
    </row>
    <row r="9" spans="1:45" x14ac:dyDescent="0.25">
      <c r="A9" s="17" t="s">
        <v>135</v>
      </c>
      <c r="D9" s="26"/>
      <c r="Z9" s="26"/>
    </row>
    <row r="10" spans="1:45" x14ac:dyDescent="0.25">
      <c r="A10" s="17" t="s">
        <v>136</v>
      </c>
      <c r="D10" s="26"/>
      <c r="Z10" s="26"/>
    </row>
    <row r="11" spans="1:45" x14ac:dyDescent="0.25">
      <c r="A11" s="26"/>
      <c r="AA11"/>
    </row>
    <row r="12" spans="1:45" x14ac:dyDescent="0.25">
      <c r="A12" s="138" t="s">
        <v>137</v>
      </c>
      <c r="B12" s="34" t="s">
        <v>138</v>
      </c>
      <c r="C12" s="34" t="s">
        <v>24</v>
      </c>
      <c r="D12" s="58" cm="1">
        <f t="array" ref="D12:W12">years</f>
        <v>2018</v>
      </c>
      <c r="E12" s="58">
        <v>2019</v>
      </c>
      <c r="F12" s="58">
        <v>2020</v>
      </c>
      <c r="G12" s="58">
        <v>2021</v>
      </c>
      <c r="H12" s="58">
        <v>2022</v>
      </c>
      <c r="I12" s="58">
        <v>2023</v>
      </c>
      <c r="J12" s="58">
        <v>2024</v>
      </c>
      <c r="K12" s="58">
        <v>2025</v>
      </c>
      <c r="L12" s="58">
        <v>2026</v>
      </c>
      <c r="M12" s="58">
        <v>2027</v>
      </c>
      <c r="N12" s="58">
        <v>2028</v>
      </c>
      <c r="O12" s="58">
        <v>2029</v>
      </c>
      <c r="P12" s="58">
        <v>2030</v>
      </c>
      <c r="Q12" s="58">
        <v>2031</v>
      </c>
      <c r="R12" s="58">
        <v>2032</v>
      </c>
      <c r="S12" s="58">
        <v>2033</v>
      </c>
      <c r="T12" s="58">
        <v>2034</v>
      </c>
      <c r="U12" s="58">
        <v>2035</v>
      </c>
      <c r="V12" s="58">
        <v>2036</v>
      </c>
      <c r="W12" s="58">
        <v>2037</v>
      </c>
      <c r="X12" s="206"/>
      <c r="Z12" s="58" cm="1">
        <f t="array" ref="Z12:AS12">years</f>
        <v>2018</v>
      </c>
      <c r="AA12" s="58">
        <v>2019</v>
      </c>
      <c r="AB12" s="58">
        <v>2020</v>
      </c>
      <c r="AC12" s="58">
        <v>2021</v>
      </c>
      <c r="AD12" s="58">
        <v>2022</v>
      </c>
      <c r="AE12" s="58">
        <v>2023</v>
      </c>
      <c r="AF12" s="58">
        <v>2024</v>
      </c>
      <c r="AG12" s="58">
        <v>2025</v>
      </c>
      <c r="AH12" s="58">
        <v>2026</v>
      </c>
      <c r="AI12" s="58">
        <v>2027</v>
      </c>
      <c r="AJ12" s="58">
        <v>2028</v>
      </c>
      <c r="AK12" s="58">
        <v>2029</v>
      </c>
      <c r="AL12" s="58">
        <v>2030</v>
      </c>
      <c r="AM12" s="58">
        <v>2031</v>
      </c>
      <c r="AN12" s="58">
        <v>2032</v>
      </c>
      <c r="AO12" s="58">
        <v>2033</v>
      </c>
      <c r="AP12" s="58">
        <v>2034</v>
      </c>
      <c r="AQ12" s="58">
        <v>2035</v>
      </c>
      <c r="AR12" s="58">
        <v>2036</v>
      </c>
      <c r="AS12" s="58">
        <v>2037</v>
      </c>
    </row>
    <row r="13" spans="1:45" x14ac:dyDescent="0.25">
      <c r="A13" s="8" t="s">
        <v>139</v>
      </c>
      <c r="B13" s="8" t="str">
        <f>'2 Dimensioning'!B40</f>
        <v>Calls per second</v>
      </c>
      <c r="C13" s="22" t="s">
        <v>140</v>
      </c>
      <c r="D13" s="7" cm="1">
        <f t="array" ref="D13:W13">ROUNDUP((fixed_calls_persecond_onnet_factor/max_load)/as_hardware,0)*redundancy</f>
        <v>2</v>
      </c>
      <c r="E13" s="7">
        <v>2</v>
      </c>
      <c r="F13" s="7">
        <v>2</v>
      </c>
      <c r="G13" s="7">
        <v>2</v>
      </c>
      <c r="H13" s="7">
        <v>2</v>
      </c>
      <c r="I13" s="7">
        <v>2</v>
      </c>
      <c r="J13" s="7">
        <v>2</v>
      </c>
      <c r="K13" s="7">
        <v>2</v>
      </c>
      <c r="L13" s="7">
        <v>2</v>
      </c>
      <c r="M13" s="7">
        <v>2</v>
      </c>
      <c r="N13" s="7">
        <v>2</v>
      </c>
      <c r="O13" s="7">
        <v>2</v>
      </c>
      <c r="P13" s="7">
        <v>2</v>
      </c>
      <c r="Q13" s="7">
        <v>2</v>
      </c>
      <c r="R13" s="7">
        <v>2</v>
      </c>
      <c r="S13" s="7">
        <v>2</v>
      </c>
      <c r="T13" s="7">
        <v>2</v>
      </c>
      <c r="U13" s="7">
        <v>2</v>
      </c>
      <c r="V13" s="7">
        <v>2</v>
      </c>
      <c r="W13" s="7">
        <v>2</v>
      </c>
      <c r="X13" s="93"/>
      <c r="Z13" s="7" cm="1">
        <f t="array" ref="Z13:AS13">ROUNDUP((fixed_calls_persecond_onnet_factor_noincoming/max_load)/as_hardware,0)*redundancy</f>
        <v>2</v>
      </c>
      <c r="AA13" s="7">
        <v>2</v>
      </c>
      <c r="AB13" s="7">
        <v>2</v>
      </c>
      <c r="AC13" s="7">
        <v>2</v>
      </c>
      <c r="AD13" s="7">
        <v>2</v>
      </c>
      <c r="AE13" s="7">
        <v>2</v>
      </c>
      <c r="AF13" s="7">
        <v>2</v>
      </c>
      <c r="AG13" s="7">
        <v>2</v>
      </c>
      <c r="AH13" s="7">
        <v>2</v>
      </c>
      <c r="AI13" s="7">
        <v>2</v>
      </c>
      <c r="AJ13" s="7">
        <v>2</v>
      </c>
      <c r="AK13" s="7">
        <v>2</v>
      </c>
      <c r="AL13" s="7">
        <v>2</v>
      </c>
      <c r="AM13" s="7">
        <v>2</v>
      </c>
      <c r="AN13" s="7">
        <v>2</v>
      </c>
      <c r="AO13" s="7">
        <v>2</v>
      </c>
      <c r="AP13" s="7">
        <v>2</v>
      </c>
      <c r="AQ13" s="7">
        <v>2</v>
      </c>
      <c r="AR13" s="7">
        <v>2</v>
      </c>
      <c r="AS13" s="7">
        <v>2</v>
      </c>
    </row>
    <row r="14" spans="1:45" x14ac:dyDescent="0.25">
      <c r="A14" s="8" t="s">
        <v>141</v>
      </c>
      <c r="B14" s="8" t="str">
        <f>'2 Dimensioning'!B41</f>
        <v>Calls per second</v>
      </c>
      <c r="C14" s="22" t="s">
        <v>140</v>
      </c>
      <c r="D14" s="7" cm="1">
        <f t="array" ref="D14:W14">ROUNDUP((fixed_calls_persecond_onnet_factor/max_load)/as_software,0)*redundancy</f>
        <v>2</v>
      </c>
      <c r="E14" s="8">
        <v>2</v>
      </c>
      <c r="F14" s="8">
        <v>2</v>
      </c>
      <c r="G14" s="8">
        <v>2</v>
      </c>
      <c r="H14" s="8">
        <v>2</v>
      </c>
      <c r="I14" s="8">
        <v>2</v>
      </c>
      <c r="J14" s="8">
        <v>2</v>
      </c>
      <c r="K14" s="8">
        <v>2</v>
      </c>
      <c r="L14" s="8">
        <v>2</v>
      </c>
      <c r="M14" s="8">
        <v>2</v>
      </c>
      <c r="N14" s="8">
        <v>2</v>
      </c>
      <c r="O14" s="8">
        <v>2</v>
      </c>
      <c r="P14" s="8">
        <v>2</v>
      </c>
      <c r="Q14" s="8">
        <v>2</v>
      </c>
      <c r="R14" s="8">
        <v>2</v>
      </c>
      <c r="S14" s="8">
        <v>2</v>
      </c>
      <c r="T14" s="8">
        <v>2</v>
      </c>
      <c r="U14" s="8">
        <v>2</v>
      </c>
      <c r="V14" s="8">
        <v>2</v>
      </c>
      <c r="W14" s="8">
        <v>2</v>
      </c>
      <c r="X14" s="93"/>
      <c r="Z14" s="7" cm="1">
        <f t="array" ref="Z14:AS14">ROUNDUP((fixed_calls_persecond_onnet_factor_noincoming/max_load)/as_software,0)*redundancy</f>
        <v>2</v>
      </c>
      <c r="AA14" s="8">
        <v>2</v>
      </c>
      <c r="AB14" s="8">
        <v>2</v>
      </c>
      <c r="AC14" s="8">
        <v>2</v>
      </c>
      <c r="AD14" s="8">
        <v>2</v>
      </c>
      <c r="AE14" s="8">
        <v>2</v>
      </c>
      <c r="AF14" s="8">
        <v>2</v>
      </c>
      <c r="AG14" s="8">
        <v>2</v>
      </c>
      <c r="AH14" s="8">
        <v>2</v>
      </c>
      <c r="AI14" s="8">
        <v>2</v>
      </c>
      <c r="AJ14" s="8">
        <v>2</v>
      </c>
      <c r="AK14" s="8">
        <v>2</v>
      </c>
      <c r="AL14" s="8">
        <v>2</v>
      </c>
      <c r="AM14" s="8">
        <v>2</v>
      </c>
      <c r="AN14" s="8">
        <v>2</v>
      </c>
      <c r="AO14" s="8">
        <v>2</v>
      </c>
      <c r="AP14" s="8">
        <v>2</v>
      </c>
      <c r="AQ14" s="8">
        <v>2</v>
      </c>
      <c r="AR14" s="8">
        <v>2</v>
      </c>
      <c r="AS14" s="8">
        <v>2</v>
      </c>
    </row>
    <row r="15" spans="1:45" x14ac:dyDescent="0.25">
      <c r="A15" s="8" t="s">
        <v>142</v>
      </c>
      <c r="B15" s="8" t="str">
        <f>'2 Dimensioning'!B42</f>
        <v>Call data records per hour (calls per hour)</v>
      </c>
      <c r="C15" s="22" t="s">
        <v>143</v>
      </c>
      <c r="D15" s="7" cm="1">
        <f t="array" ref="D15:W15">ROUNDUP((fixed_calls_per_hour/max_load)/cdf_hardware,0)*redundancy</f>
        <v>2</v>
      </c>
      <c r="E15" s="12">
        <v>2</v>
      </c>
      <c r="F15" s="12">
        <v>2</v>
      </c>
      <c r="G15" s="12">
        <v>2</v>
      </c>
      <c r="H15" s="12">
        <v>2</v>
      </c>
      <c r="I15" s="12">
        <v>2</v>
      </c>
      <c r="J15" s="12">
        <v>2</v>
      </c>
      <c r="K15" s="12">
        <v>2</v>
      </c>
      <c r="L15" s="12">
        <v>2</v>
      </c>
      <c r="M15" s="12">
        <v>2</v>
      </c>
      <c r="N15" s="12">
        <v>2</v>
      </c>
      <c r="O15" s="12">
        <v>2</v>
      </c>
      <c r="P15" s="12">
        <v>2</v>
      </c>
      <c r="Q15" s="12">
        <v>2</v>
      </c>
      <c r="R15" s="12">
        <v>2</v>
      </c>
      <c r="S15" s="12">
        <v>2</v>
      </c>
      <c r="T15" s="12">
        <v>2</v>
      </c>
      <c r="U15" s="12">
        <v>2</v>
      </c>
      <c r="V15" s="12">
        <v>2</v>
      </c>
      <c r="W15" s="12">
        <v>2</v>
      </c>
      <c r="Z15" s="7" cm="1">
        <f t="array" ref="Z15:AS15">ROUNDUP((fixed_calls_per_hour_noincoming/max_load)/cdf_hardware,0)*redundancy</f>
        <v>2</v>
      </c>
      <c r="AA15" s="12">
        <v>2</v>
      </c>
      <c r="AB15" s="12">
        <v>2</v>
      </c>
      <c r="AC15" s="12">
        <v>2</v>
      </c>
      <c r="AD15" s="12">
        <v>2</v>
      </c>
      <c r="AE15" s="12">
        <v>2</v>
      </c>
      <c r="AF15" s="12">
        <v>2</v>
      </c>
      <c r="AG15" s="12">
        <v>2</v>
      </c>
      <c r="AH15" s="12">
        <v>2</v>
      </c>
      <c r="AI15" s="12">
        <v>2</v>
      </c>
      <c r="AJ15" s="12">
        <v>2</v>
      </c>
      <c r="AK15" s="12">
        <v>2</v>
      </c>
      <c r="AL15" s="12">
        <v>2</v>
      </c>
      <c r="AM15" s="12">
        <v>2</v>
      </c>
      <c r="AN15" s="12">
        <v>2</v>
      </c>
      <c r="AO15" s="12">
        <v>2</v>
      </c>
      <c r="AP15" s="12">
        <v>2</v>
      </c>
      <c r="AQ15" s="12">
        <v>2</v>
      </c>
      <c r="AR15" s="12">
        <v>2</v>
      </c>
      <c r="AS15" s="12">
        <v>2</v>
      </c>
    </row>
    <row r="16" spans="1:45" x14ac:dyDescent="0.25">
      <c r="A16" s="8" t="s">
        <v>144</v>
      </c>
      <c r="B16" s="8" t="str">
        <f>'2 Dimensioning'!B43</f>
        <v>Call data records per hour (calls per hour)</v>
      </c>
      <c r="C16" s="22" t="s">
        <v>143</v>
      </c>
      <c r="D16" s="7" cm="1">
        <f t="array" ref="D16:W16">ROUNDUP((fixed_calls_per_hour/max_load)/cdf_software,0)*redundancy</f>
        <v>2</v>
      </c>
      <c r="E16" s="13">
        <v>2</v>
      </c>
      <c r="F16" s="13">
        <v>2</v>
      </c>
      <c r="G16" s="13">
        <v>2</v>
      </c>
      <c r="H16" s="13">
        <v>2</v>
      </c>
      <c r="I16" s="13">
        <v>2</v>
      </c>
      <c r="J16" s="13">
        <v>2</v>
      </c>
      <c r="K16" s="13">
        <v>2</v>
      </c>
      <c r="L16" s="13">
        <v>2</v>
      </c>
      <c r="M16" s="13">
        <v>2</v>
      </c>
      <c r="N16" s="13">
        <v>2</v>
      </c>
      <c r="O16" s="13">
        <v>2</v>
      </c>
      <c r="P16" s="13">
        <v>2</v>
      </c>
      <c r="Q16" s="13">
        <v>2</v>
      </c>
      <c r="R16" s="13">
        <v>2</v>
      </c>
      <c r="S16" s="13">
        <v>2</v>
      </c>
      <c r="T16" s="13">
        <v>2</v>
      </c>
      <c r="U16" s="13">
        <v>2</v>
      </c>
      <c r="V16" s="13">
        <v>2</v>
      </c>
      <c r="W16" s="13">
        <v>2</v>
      </c>
      <c r="X16" s="207"/>
      <c r="Y16" s="207"/>
      <c r="Z16" s="7" cm="1">
        <f t="array" ref="Z16:AS16">ROUNDUP((fixed_calls_per_hour_noincoming/max_load)/cdf_software,0)*redundancy</f>
        <v>2</v>
      </c>
      <c r="AA16" s="13">
        <v>2</v>
      </c>
      <c r="AB16" s="13">
        <v>2</v>
      </c>
      <c r="AC16" s="13">
        <v>2</v>
      </c>
      <c r="AD16" s="13">
        <v>2</v>
      </c>
      <c r="AE16" s="13">
        <v>2</v>
      </c>
      <c r="AF16" s="13">
        <v>2</v>
      </c>
      <c r="AG16" s="13">
        <v>2</v>
      </c>
      <c r="AH16" s="13">
        <v>2</v>
      </c>
      <c r="AI16" s="13">
        <v>2</v>
      </c>
      <c r="AJ16" s="13">
        <v>2</v>
      </c>
      <c r="AK16" s="13">
        <v>2</v>
      </c>
      <c r="AL16" s="13">
        <v>2</v>
      </c>
      <c r="AM16" s="13">
        <v>2</v>
      </c>
      <c r="AN16" s="13">
        <v>2</v>
      </c>
      <c r="AO16" s="13">
        <v>2</v>
      </c>
      <c r="AP16" s="13">
        <v>2</v>
      </c>
      <c r="AQ16" s="13">
        <v>2</v>
      </c>
      <c r="AR16" s="13">
        <v>2</v>
      </c>
      <c r="AS16" s="13">
        <v>2</v>
      </c>
    </row>
    <row r="17" spans="1:46" x14ac:dyDescent="0.25">
      <c r="A17" s="8" t="s">
        <v>145</v>
      </c>
      <c r="B17" s="8" t="str">
        <f>'2 Dimensioning'!B44</f>
        <v>Busy hour call attempts</v>
      </c>
      <c r="C17" s="22" t="s">
        <v>140</v>
      </c>
      <c r="D17" s="7" cm="1">
        <f t="array" ref="D17:W17">ROUNDUP((busy_hour_call_attempts/max_load)/proxy_cscf_hardware,0)*redundancy</f>
        <v>2</v>
      </c>
      <c r="E17" s="13">
        <v>2</v>
      </c>
      <c r="F17" s="13">
        <v>2</v>
      </c>
      <c r="G17" s="13">
        <v>2</v>
      </c>
      <c r="H17" s="13">
        <v>2</v>
      </c>
      <c r="I17" s="13">
        <v>2</v>
      </c>
      <c r="J17" s="13">
        <v>2</v>
      </c>
      <c r="K17" s="13">
        <v>2</v>
      </c>
      <c r="L17" s="13">
        <v>2</v>
      </c>
      <c r="M17" s="13">
        <v>2</v>
      </c>
      <c r="N17" s="13">
        <v>2</v>
      </c>
      <c r="O17" s="13">
        <v>2</v>
      </c>
      <c r="P17" s="13">
        <v>2</v>
      </c>
      <c r="Q17" s="13">
        <v>2</v>
      </c>
      <c r="R17" s="13">
        <v>2</v>
      </c>
      <c r="S17" s="13">
        <v>2</v>
      </c>
      <c r="T17" s="13">
        <v>2</v>
      </c>
      <c r="U17" s="13">
        <v>2</v>
      </c>
      <c r="V17" s="13">
        <v>2</v>
      </c>
      <c r="W17" s="13">
        <v>2</v>
      </c>
      <c r="X17" s="207"/>
      <c r="Y17" s="207"/>
      <c r="Z17" s="7" cm="1">
        <f t="array" ref="Z17:AS17">ROUNDUP((busy_hour_call_attempts_noincoming/max_load)/proxy_cscf_hardware,0)*redundancy</f>
        <v>2</v>
      </c>
      <c r="AA17" s="13">
        <v>2</v>
      </c>
      <c r="AB17" s="13">
        <v>2</v>
      </c>
      <c r="AC17" s="13">
        <v>2</v>
      </c>
      <c r="AD17" s="13">
        <v>2</v>
      </c>
      <c r="AE17" s="13">
        <v>2</v>
      </c>
      <c r="AF17" s="13">
        <v>2</v>
      </c>
      <c r="AG17" s="13">
        <v>2</v>
      </c>
      <c r="AH17" s="13">
        <v>2</v>
      </c>
      <c r="AI17" s="13">
        <v>2</v>
      </c>
      <c r="AJ17" s="13">
        <v>2</v>
      </c>
      <c r="AK17" s="13">
        <v>2</v>
      </c>
      <c r="AL17" s="13">
        <v>2</v>
      </c>
      <c r="AM17" s="13">
        <v>2</v>
      </c>
      <c r="AN17" s="13">
        <v>2</v>
      </c>
      <c r="AO17" s="13">
        <v>2</v>
      </c>
      <c r="AP17" s="13">
        <v>2</v>
      </c>
      <c r="AQ17" s="13">
        <v>2</v>
      </c>
      <c r="AR17" s="13">
        <v>2</v>
      </c>
      <c r="AS17" s="13">
        <v>2</v>
      </c>
    </row>
    <row r="18" spans="1:46" x14ac:dyDescent="0.25">
      <c r="A18" s="8" t="s">
        <v>146</v>
      </c>
      <c r="B18" s="8" t="str">
        <f>'2 Dimensioning'!B45</f>
        <v>Busy hour call attempts</v>
      </c>
      <c r="C18" s="22" t="s">
        <v>140</v>
      </c>
      <c r="D18" s="7" cm="1">
        <f t="array" ref="D18:W18">ROUNDUP((busy_hour_call_attempts/max_load)/proxy_cscf_software,0)*redundancy</f>
        <v>2</v>
      </c>
      <c r="E18" s="13">
        <v>2</v>
      </c>
      <c r="F18" s="13">
        <v>2</v>
      </c>
      <c r="G18" s="13">
        <v>2</v>
      </c>
      <c r="H18" s="13">
        <v>2</v>
      </c>
      <c r="I18" s="13">
        <v>2</v>
      </c>
      <c r="J18" s="13">
        <v>2</v>
      </c>
      <c r="K18" s="13">
        <v>2</v>
      </c>
      <c r="L18" s="13">
        <v>2</v>
      </c>
      <c r="M18" s="13">
        <v>2</v>
      </c>
      <c r="N18" s="13">
        <v>2</v>
      </c>
      <c r="O18" s="13">
        <v>2</v>
      </c>
      <c r="P18" s="13">
        <v>2</v>
      </c>
      <c r="Q18" s="13">
        <v>2</v>
      </c>
      <c r="R18" s="13">
        <v>2</v>
      </c>
      <c r="S18" s="13">
        <v>2</v>
      </c>
      <c r="T18" s="13">
        <v>2</v>
      </c>
      <c r="U18" s="13">
        <v>2</v>
      </c>
      <c r="V18" s="13">
        <v>2</v>
      </c>
      <c r="W18" s="13">
        <v>2</v>
      </c>
      <c r="X18" s="207"/>
      <c r="Y18" s="207"/>
      <c r="Z18" s="7" cm="1">
        <f t="array" ref="Z18:AS18">ROUNDUP((busy_hour_call_attempts_noincoming/max_load)/proxy_cscf_software,0)*redundancy</f>
        <v>2</v>
      </c>
      <c r="AA18" s="13">
        <v>2</v>
      </c>
      <c r="AB18" s="13">
        <v>2</v>
      </c>
      <c r="AC18" s="13">
        <v>2</v>
      </c>
      <c r="AD18" s="13">
        <v>2</v>
      </c>
      <c r="AE18" s="13">
        <v>2</v>
      </c>
      <c r="AF18" s="13">
        <v>2</v>
      </c>
      <c r="AG18" s="13">
        <v>2</v>
      </c>
      <c r="AH18" s="13">
        <v>2</v>
      </c>
      <c r="AI18" s="13">
        <v>2</v>
      </c>
      <c r="AJ18" s="13">
        <v>2</v>
      </c>
      <c r="AK18" s="13">
        <v>2</v>
      </c>
      <c r="AL18" s="13">
        <v>2</v>
      </c>
      <c r="AM18" s="13">
        <v>2</v>
      </c>
      <c r="AN18" s="13">
        <v>2</v>
      </c>
      <c r="AO18" s="13">
        <v>2</v>
      </c>
      <c r="AP18" s="13">
        <v>2</v>
      </c>
      <c r="AQ18" s="13">
        <v>2</v>
      </c>
      <c r="AR18" s="13">
        <v>2</v>
      </c>
      <c r="AS18" s="13">
        <v>2</v>
      </c>
    </row>
    <row r="19" spans="1:46" x14ac:dyDescent="0.25">
      <c r="A19" s="8" t="s">
        <v>147</v>
      </c>
      <c r="B19" s="8" t="str">
        <f>'2 Dimensioning'!B46</f>
        <v>Busy hour call attempts</v>
      </c>
      <c r="C19" s="22" t="s">
        <v>140</v>
      </c>
      <c r="D19" s="7" cm="1">
        <f t="array" ref="D19:W19">ROUNDUP((busy_hour_call_attempts/max_load)/interr_cscf_hardware,0)*redundancy</f>
        <v>2</v>
      </c>
      <c r="E19" s="8">
        <v>2</v>
      </c>
      <c r="F19" s="8">
        <v>2</v>
      </c>
      <c r="G19" s="8">
        <v>2</v>
      </c>
      <c r="H19" s="8">
        <v>2</v>
      </c>
      <c r="I19" s="8">
        <v>2</v>
      </c>
      <c r="J19" s="8">
        <v>2</v>
      </c>
      <c r="K19" s="8">
        <v>2</v>
      </c>
      <c r="L19" s="8">
        <v>2</v>
      </c>
      <c r="M19" s="8">
        <v>2</v>
      </c>
      <c r="N19" s="8">
        <v>2</v>
      </c>
      <c r="O19" s="8">
        <v>2</v>
      </c>
      <c r="P19" s="8">
        <v>2</v>
      </c>
      <c r="Q19" s="8">
        <v>2</v>
      </c>
      <c r="R19" s="8">
        <v>2</v>
      </c>
      <c r="S19" s="8">
        <v>2</v>
      </c>
      <c r="T19" s="8">
        <v>2</v>
      </c>
      <c r="U19" s="8">
        <v>2</v>
      </c>
      <c r="V19" s="8">
        <v>2</v>
      </c>
      <c r="W19" s="8">
        <v>2</v>
      </c>
      <c r="Z19" s="7" cm="1">
        <f t="array" ref="Z19:AS19">ROUNDUP((busy_hour_call_attempts_noincoming/max_load)/interr_cscf_hardware,0)*redundancy</f>
        <v>2</v>
      </c>
      <c r="AA19" s="8">
        <v>2</v>
      </c>
      <c r="AB19" s="8">
        <v>2</v>
      </c>
      <c r="AC19" s="8">
        <v>2</v>
      </c>
      <c r="AD19" s="8">
        <v>2</v>
      </c>
      <c r="AE19" s="8">
        <v>2</v>
      </c>
      <c r="AF19" s="8">
        <v>2</v>
      </c>
      <c r="AG19" s="8">
        <v>2</v>
      </c>
      <c r="AH19" s="8">
        <v>2</v>
      </c>
      <c r="AI19" s="8">
        <v>2</v>
      </c>
      <c r="AJ19" s="8">
        <v>2</v>
      </c>
      <c r="AK19" s="8">
        <v>2</v>
      </c>
      <c r="AL19" s="8">
        <v>2</v>
      </c>
      <c r="AM19" s="8">
        <v>2</v>
      </c>
      <c r="AN19" s="8">
        <v>2</v>
      </c>
      <c r="AO19" s="8">
        <v>2</v>
      </c>
      <c r="AP19" s="8">
        <v>2</v>
      </c>
      <c r="AQ19" s="8">
        <v>2</v>
      </c>
      <c r="AR19" s="8">
        <v>2</v>
      </c>
      <c r="AS19" s="8">
        <v>2</v>
      </c>
    </row>
    <row r="20" spans="1:46" x14ac:dyDescent="0.25">
      <c r="A20" s="8" t="s">
        <v>148</v>
      </c>
      <c r="B20" s="8" t="str">
        <f>'2 Dimensioning'!B47</f>
        <v>Busy hour call attempts</v>
      </c>
      <c r="C20" s="22" t="s">
        <v>140</v>
      </c>
      <c r="D20" s="7" cm="1">
        <f t="array" ref="D20:W20">ROUNDUP((busy_hour_call_attempts/max_load)/interr_cscf_software,0)*redundancy</f>
        <v>2</v>
      </c>
      <c r="E20" s="8">
        <v>2</v>
      </c>
      <c r="F20" s="8">
        <v>2</v>
      </c>
      <c r="G20" s="8">
        <v>2</v>
      </c>
      <c r="H20" s="8">
        <v>2</v>
      </c>
      <c r="I20" s="8">
        <v>2</v>
      </c>
      <c r="J20" s="8">
        <v>2</v>
      </c>
      <c r="K20" s="8">
        <v>2</v>
      </c>
      <c r="L20" s="8">
        <v>2</v>
      </c>
      <c r="M20" s="8">
        <v>2</v>
      </c>
      <c r="N20" s="8">
        <v>2</v>
      </c>
      <c r="O20" s="8">
        <v>2</v>
      </c>
      <c r="P20" s="8">
        <v>2</v>
      </c>
      <c r="Q20" s="8">
        <v>2</v>
      </c>
      <c r="R20" s="8">
        <v>2</v>
      </c>
      <c r="S20" s="8">
        <v>2</v>
      </c>
      <c r="T20" s="8">
        <v>2</v>
      </c>
      <c r="U20" s="8">
        <v>2</v>
      </c>
      <c r="V20" s="8">
        <v>2</v>
      </c>
      <c r="W20" s="8">
        <v>2</v>
      </c>
      <c r="X20" s="89"/>
      <c r="Z20" s="7" cm="1">
        <f t="array" ref="Z20:AS20">ROUNDUP((busy_hour_call_attempts_noincoming/max_load)/interr_cscf_software,0)*redundancy</f>
        <v>2</v>
      </c>
      <c r="AA20" s="8">
        <v>2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2</v>
      </c>
      <c r="AJ20" s="8">
        <v>2</v>
      </c>
      <c r="AK20" s="8">
        <v>2</v>
      </c>
      <c r="AL20" s="8">
        <v>2</v>
      </c>
      <c r="AM20" s="8">
        <v>2</v>
      </c>
      <c r="AN20" s="8">
        <v>2</v>
      </c>
      <c r="AO20" s="8">
        <v>2</v>
      </c>
      <c r="AP20" s="8">
        <v>2</v>
      </c>
      <c r="AQ20" s="8">
        <v>2</v>
      </c>
      <c r="AR20" s="8">
        <v>2</v>
      </c>
      <c r="AS20" s="8">
        <v>2</v>
      </c>
    </row>
    <row r="21" spans="1:46" x14ac:dyDescent="0.25">
      <c r="A21" s="8" t="s">
        <v>149</v>
      </c>
      <c r="B21" s="8" t="str">
        <f>'2 Dimensioning'!B48</f>
        <v>Busy hour call attempts</v>
      </c>
      <c r="C21" s="22" t="s">
        <v>140</v>
      </c>
      <c r="D21" s="7" cm="1">
        <f t="array" ref="D21:W21">ROUNDUP((busy_hour_call_attempts/max_load)/serve_cscf_hardware,0)*redundancy</f>
        <v>2</v>
      </c>
      <c r="E21" s="8">
        <v>2</v>
      </c>
      <c r="F21" s="8">
        <v>2</v>
      </c>
      <c r="G21" s="8">
        <v>2</v>
      </c>
      <c r="H21" s="8">
        <v>2</v>
      </c>
      <c r="I21" s="8">
        <v>2</v>
      </c>
      <c r="J21" s="8">
        <v>2</v>
      </c>
      <c r="K21" s="8">
        <v>2</v>
      </c>
      <c r="L21" s="8">
        <v>2</v>
      </c>
      <c r="M21" s="8">
        <v>2</v>
      </c>
      <c r="N21" s="8">
        <v>2</v>
      </c>
      <c r="O21" s="8">
        <v>2</v>
      </c>
      <c r="P21" s="8">
        <v>2</v>
      </c>
      <c r="Q21" s="8">
        <v>2</v>
      </c>
      <c r="R21" s="8">
        <v>2</v>
      </c>
      <c r="S21" s="8">
        <v>2</v>
      </c>
      <c r="T21" s="8">
        <v>2</v>
      </c>
      <c r="U21" s="8">
        <v>2</v>
      </c>
      <c r="V21" s="8">
        <v>2</v>
      </c>
      <c r="W21" s="8">
        <v>2</v>
      </c>
      <c r="X21" s="89"/>
      <c r="Z21" s="7" cm="1">
        <f t="array" ref="Z21:AS21">ROUNDUP((busy_hour_call_attempts_noincoming/max_load)/serve_cscf_software,0)*redundancy</f>
        <v>2</v>
      </c>
      <c r="AA21" s="8">
        <v>2</v>
      </c>
      <c r="AB21" s="8">
        <v>2</v>
      </c>
      <c r="AC21" s="8">
        <v>2</v>
      </c>
      <c r="AD21" s="8">
        <v>2</v>
      </c>
      <c r="AE21" s="8">
        <v>2</v>
      </c>
      <c r="AF21" s="8">
        <v>2</v>
      </c>
      <c r="AG21" s="8">
        <v>2</v>
      </c>
      <c r="AH21" s="8">
        <v>2</v>
      </c>
      <c r="AI21" s="8">
        <v>2</v>
      </c>
      <c r="AJ21" s="8">
        <v>2</v>
      </c>
      <c r="AK21" s="8">
        <v>2</v>
      </c>
      <c r="AL21" s="8">
        <v>2</v>
      </c>
      <c r="AM21" s="8">
        <v>2</v>
      </c>
      <c r="AN21" s="8">
        <v>2</v>
      </c>
      <c r="AO21" s="8">
        <v>2</v>
      </c>
      <c r="AP21" s="8">
        <v>2</v>
      </c>
      <c r="AQ21" s="8">
        <v>2</v>
      </c>
      <c r="AR21" s="8">
        <v>2</v>
      </c>
      <c r="AS21" s="8">
        <v>2</v>
      </c>
    </row>
    <row r="22" spans="1:46" x14ac:dyDescent="0.25">
      <c r="A22" s="8" t="s">
        <v>150</v>
      </c>
      <c r="B22" s="8" t="str">
        <f>'2 Dimensioning'!B49</f>
        <v>Busy hour call attempts</v>
      </c>
      <c r="C22" s="22" t="s">
        <v>140</v>
      </c>
      <c r="D22" s="7" cm="1">
        <f t="array" ref="D22:W22">ROUNDUP((busy_hour_call_attempts/max_load)/serve_cscf_software,0)*redundancy</f>
        <v>2</v>
      </c>
      <c r="E22" s="8">
        <v>2</v>
      </c>
      <c r="F22" s="8">
        <v>2</v>
      </c>
      <c r="G22" s="8">
        <v>2</v>
      </c>
      <c r="H22" s="8">
        <v>2</v>
      </c>
      <c r="I22" s="8">
        <v>2</v>
      </c>
      <c r="J22" s="8">
        <v>2</v>
      </c>
      <c r="K22" s="8">
        <v>2</v>
      </c>
      <c r="L22" s="8">
        <v>2</v>
      </c>
      <c r="M22" s="8">
        <v>2</v>
      </c>
      <c r="N22" s="8">
        <v>2</v>
      </c>
      <c r="O22" s="8">
        <v>2</v>
      </c>
      <c r="P22" s="8">
        <v>2</v>
      </c>
      <c r="Q22" s="8">
        <v>2</v>
      </c>
      <c r="R22" s="8">
        <v>2</v>
      </c>
      <c r="S22" s="8">
        <v>2</v>
      </c>
      <c r="T22" s="8">
        <v>2</v>
      </c>
      <c r="U22" s="8">
        <v>2</v>
      </c>
      <c r="V22" s="8">
        <v>2</v>
      </c>
      <c r="W22" s="8">
        <v>2</v>
      </c>
      <c r="Z22" s="7" cm="1">
        <f t="array" ref="Z22:AS22">ROUNDUP((busy_hour_call_attempts_noincoming/max_load)/serve_cscf_software,0)*redundancy</f>
        <v>2</v>
      </c>
      <c r="AA22" s="8">
        <v>2</v>
      </c>
      <c r="AB22" s="8">
        <v>2</v>
      </c>
      <c r="AC22" s="8">
        <v>2</v>
      </c>
      <c r="AD22" s="8">
        <v>2</v>
      </c>
      <c r="AE22" s="8">
        <v>2</v>
      </c>
      <c r="AF22" s="8">
        <v>2</v>
      </c>
      <c r="AG22" s="8">
        <v>2</v>
      </c>
      <c r="AH22" s="8">
        <v>2</v>
      </c>
      <c r="AI22" s="8">
        <v>2</v>
      </c>
      <c r="AJ22" s="8">
        <v>2</v>
      </c>
      <c r="AK22" s="8">
        <v>2</v>
      </c>
      <c r="AL22" s="8">
        <v>2</v>
      </c>
      <c r="AM22" s="8">
        <v>2</v>
      </c>
      <c r="AN22" s="8">
        <v>2</v>
      </c>
      <c r="AO22" s="8">
        <v>2</v>
      </c>
      <c r="AP22" s="8">
        <v>2</v>
      </c>
      <c r="AQ22" s="8">
        <v>2</v>
      </c>
      <c r="AR22" s="8">
        <v>2</v>
      </c>
      <c r="AS22" s="8">
        <v>2</v>
      </c>
    </row>
    <row r="23" spans="1:46" x14ac:dyDescent="0.25">
      <c r="A23" s="8" t="s">
        <v>151</v>
      </c>
      <c r="B23" s="8" t="str">
        <f>'2 Dimensioning'!B50</f>
        <v>Concurrent sessions (calls per hour)</v>
      </c>
      <c r="C23" s="22" t="s">
        <v>140</v>
      </c>
      <c r="D23" s="7" cm="1">
        <f t="array" ref="D23:W23">ROUNDUP((fixed_calls_per_hour_onnet_factor/max_load)/mrf_hardware,0)*redundancy</f>
        <v>126</v>
      </c>
      <c r="E23" s="8">
        <v>128</v>
      </c>
      <c r="F23" s="8">
        <v>134</v>
      </c>
      <c r="G23" s="8">
        <v>130</v>
      </c>
      <c r="H23" s="8">
        <v>130</v>
      </c>
      <c r="I23" s="8">
        <v>132</v>
      </c>
      <c r="J23" s="8">
        <v>132</v>
      </c>
      <c r="K23" s="8">
        <v>132</v>
      </c>
      <c r="L23" s="8">
        <v>134</v>
      </c>
      <c r="M23" s="8">
        <v>134</v>
      </c>
      <c r="N23" s="8">
        <v>134</v>
      </c>
      <c r="O23" s="8">
        <v>136</v>
      </c>
      <c r="P23" s="8">
        <v>136</v>
      </c>
      <c r="Q23" s="8">
        <v>136</v>
      </c>
      <c r="R23" s="8">
        <v>138</v>
      </c>
      <c r="S23" s="8">
        <v>138</v>
      </c>
      <c r="T23" s="8">
        <v>138</v>
      </c>
      <c r="U23" s="8">
        <v>140</v>
      </c>
      <c r="V23" s="8">
        <v>140</v>
      </c>
      <c r="W23" s="8">
        <v>140</v>
      </c>
      <c r="Z23" s="7" cm="1">
        <f t="array" ref="Z23:AS23">ROUNDUP((fixed_calls_per_hour_onnet_factor_noincoming/max_load)/mrf_hardware,0)*redundancy</f>
        <v>60</v>
      </c>
      <c r="AA23" s="8">
        <v>58</v>
      </c>
      <c r="AB23" s="8">
        <v>54</v>
      </c>
      <c r="AC23" s="8">
        <v>50</v>
      </c>
      <c r="AD23" s="8">
        <v>50</v>
      </c>
      <c r="AE23" s="8">
        <v>50</v>
      </c>
      <c r="AF23" s="8">
        <v>50</v>
      </c>
      <c r="AG23" s="8">
        <v>52</v>
      </c>
      <c r="AH23" s="8">
        <v>52</v>
      </c>
      <c r="AI23" s="8">
        <v>52</v>
      </c>
      <c r="AJ23" s="8">
        <v>52</v>
      </c>
      <c r="AK23" s="8">
        <v>52</v>
      </c>
      <c r="AL23" s="8">
        <v>52</v>
      </c>
      <c r="AM23" s="8">
        <v>52</v>
      </c>
      <c r="AN23" s="8">
        <v>52</v>
      </c>
      <c r="AO23" s="8">
        <v>54</v>
      </c>
      <c r="AP23" s="8">
        <v>54</v>
      </c>
      <c r="AQ23" s="8">
        <v>54</v>
      </c>
      <c r="AR23" s="8">
        <v>54</v>
      </c>
      <c r="AS23" s="8">
        <v>54</v>
      </c>
    </row>
    <row r="24" spans="1:46" x14ac:dyDescent="0.25">
      <c r="A24" s="8" t="s">
        <v>152</v>
      </c>
      <c r="B24" s="8" t="str">
        <f>'2 Dimensioning'!B51</f>
        <v>Concurrent sessions (calls per hour)</v>
      </c>
      <c r="C24" s="22" t="s">
        <v>140</v>
      </c>
      <c r="D24" s="7" cm="1">
        <f t="array" ref="D24:W24">ROUNDUP((fixed_calls_per_hour_onnet_factor/max_load)/mrf_software,0)*redundancy</f>
        <v>144</v>
      </c>
      <c r="E24" s="8">
        <v>146</v>
      </c>
      <c r="F24" s="8">
        <v>152</v>
      </c>
      <c r="G24" s="8">
        <v>148</v>
      </c>
      <c r="H24" s="8">
        <v>148</v>
      </c>
      <c r="I24" s="8">
        <v>150</v>
      </c>
      <c r="J24" s="8">
        <v>150</v>
      </c>
      <c r="K24" s="8">
        <v>152</v>
      </c>
      <c r="L24" s="8">
        <v>152</v>
      </c>
      <c r="M24" s="8">
        <v>152</v>
      </c>
      <c r="N24" s="8">
        <v>154</v>
      </c>
      <c r="O24" s="8">
        <v>154</v>
      </c>
      <c r="P24" s="8">
        <v>154</v>
      </c>
      <c r="Q24" s="8">
        <v>156</v>
      </c>
      <c r="R24" s="8">
        <v>156</v>
      </c>
      <c r="S24" s="8">
        <v>158</v>
      </c>
      <c r="T24" s="8">
        <v>158</v>
      </c>
      <c r="U24" s="8">
        <v>158</v>
      </c>
      <c r="V24" s="8">
        <v>160</v>
      </c>
      <c r="W24" s="8">
        <v>160</v>
      </c>
      <c r="Z24" s="7" cm="1">
        <f t="array" ref="Z24:AS24">ROUNDUP((fixed_calls_per_hour_onnet_factor_noincoming/max_load)/mrf_software,0)*redundancy</f>
        <v>68</v>
      </c>
      <c r="AA24" s="8">
        <v>66</v>
      </c>
      <c r="AB24" s="8">
        <v>62</v>
      </c>
      <c r="AC24" s="8">
        <v>58</v>
      </c>
      <c r="AD24" s="8">
        <v>58</v>
      </c>
      <c r="AE24" s="8">
        <v>58</v>
      </c>
      <c r="AF24" s="8">
        <v>58</v>
      </c>
      <c r="AG24" s="8">
        <v>58</v>
      </c>
      <c r="AH24" s="8">
        <v>58</v>
      </c>
      <c r="AI24" s="8">
        <v>58</v>
      </c>
      <c r="AJ24" s="8">
        <v>60</v>
      </c>
      <c r="AK24" s="8">
        <v>60</v>
      </c>
      <c r="AL24" s="8">
        <v>60</v>
      </c>
      <c r="AM24" s="8">
        <v>60</v>
      </c>
      <c r="AN24" s="8">
        <v>60</v>
      </c>
      <c r="AO24" s="8">
        <v>60</v>
      </c>
      <c r="AP24" s="8">
        <v>62</v>
      </c>
      <c r="AQ24" s="8">
        <v>62</v>
      </c>
      <c r="AR24" s="8">
        <v>62</v>
      </c>
      <c r="AS24" s="8">
        <v>62</v>
      </c>
    </row>
    <row r="25" spans="1:46" x14ac:dyDescent="0.25">
      <c r="A25" s="8" t="s">
        <v>153</v>
      </c>
      <c r="B25" s="8" t="str">
        <f>'2 Dimensioning'!B52</f>
        <v>Concurrent sessions (calls per hour)</v>
      </c>
      <c r="C25" s="22" t="s">
        <v>140</v>
      </c>
      <c r="D25" s="7" cm="1">
        <f t="array" ref="D25:W25">ROUNDUP((fixed_calls_per_hour_onnet_factor/max_load)/access_sbc_hardware,0)*redundancy</f>
        <v>14</v>
      </c>
      <c r="E25" s="8">
        <v>14</v>
      </c>
      <c r="F25" s="8">
        <v>14</v>
      </c>
      <c r="G25" s="8">
        <v>14</v>
      </c>
      <c r="H25" s="8">
        <v>14</v>
      </c>
      <c r="I25" s="8">
        <v>14</v>
      </c>
      <c r="J25" s="8">
        <v>14</v>
      </c>
      <c r="K25" s="8">
        <v>14</v>
      </c>
      <c r="L25" s="8">
        <v>14</v>
      </c>
      <c r="M25" s="8">
        <v>14</v>
      </c>
      <c r="N25" s="8">
        <v>14</v>
      </c>
      <c r="O25" s="8">
        <v>14</v>
      </c>
      <c r="P25" s="8">
        <v>14</v>
      </c>
      <c r="Q25" s="8">
        <v>14</v>
      </c>
      <c r="R25" s="8">
        <v>14</v>
      </c>
      <c r="S25" s="8">
        <v>14</v>
      </c>
      <c r="T25" s="8">
        <v>14</v>
      </c>
      <c r="U25" s="8">
        <v>14</v>
      </c>
      <c r="V25" s="8">
        <v>14</v>
      </c>
      <c r="W25" s="8">
        <v>14</v>
      </c>
      <c r="Z25" s="7" cm="1">
        <f t="array" ref="Z25:AS25">ROUNDUP((fixed_calls_per_hour_onnet_factor_noincoming/max_load)/access_sbc_hardware,0)*redundancy</f>
        <v>6</v>
      </c>
      <c r="AA25" s="8">
        <v>6</v>
      </c>
      <c r="AB25" s="8">
        <v>6</v>
      </c>
      <c r="AC25" s="8">
        <v>6</v>
      </c>
      <c r="AD25" s="8">
        <v>6</v>
      </c>
      <c r="AE25" s="8">
        <v>6</v>
      </c>
      <c r="AF25" s="8">
        <v>6</v>
      </c>
      <c r="AG25" s="8">
        <v>6</v>
      </c>
      <c r="AH25" s="8">
        <v>6</v>
      </c>
      <c r="AI25" s="8">
        <v>6</v>
      </c>
      <c r="AJ25" s="8">
        <v>6</v>
      </c>
      <c r="AK25" s="8">
        <v>6</v>
      </c>
      <c r="AL25" s="8">
        <v>6</v>
      </c>
      <c r="AM25" s="8">
        <v>6</v>
      </c>
      <c r="AN25" s="8">
        <v>6</v>
      </c>
      <c r="AO25" s="8">
        <v>6</v>
      </c>
      <c r="AP25" s="8">
        <v>6</v>
      </c>
      <c r="AQ25" s="8">
        <v>6</v>
      </c>
      <c r="AR25" s="8">
        <v>6</v>
      </c>
      <c r="AS25" s="8">
        <v>6</v>
      </c>
    </row>
    <row r="26" spans="1:46" x14ac:dyDescent="0.25">
      <c r="A26" s="8" t="s">
        <v>154</v>
      </c>
      <c r="B26" s="8" t="str">
        <f>'2 Dimensioning'!B53</f>
        <v>Concurrent sessions (calls per hour)</v>
      </c>
      <c r="C26" s="22" t="s">
        <v>140</v>
      </c>
      <c r="D26" s="7" cm="1">
        <f t="array" ref="D26:W26">ROUNDUP((fixed_calls_per_hour_onnet_factor/max_load)/access_sbc_software,0)*redundancy</f>
        <v>126</v>
      </c>
      <c r="E26" s="8">
        <v>128</v>
      </c>
      <c r="F26" s="8">
        <v>134</v>
      </c>
      <c r="G26" s="8">
        <v>130</v>
      </c>
      <c r="H26" s="8">
        <v>130</v>
      </c>
      <c r="I26" s="8">
        <v>132</v>
      </c>
      <c r="J26" s="8">
        <v>132</v>
      </c>
      <c r="K26" s="8">
        <v>132</v>
      </c>
      <c r="L26" s="8">
        <v>134</v>
      </c>
      <c r="M26" s="8">
        <v>134</v>
      </c>
      <c r="N26" s="8">
        <v>134</v>
      </c>
      <c r="O26" s="8">
        <v>136</v>
      </c>
      <c r="P26" s="8">
        <v>136</v>
      </c>
      <c r="Q26" s="8">
        <v>136</v>
      </c>
      <c r="R26" s="8">
        <v>138</v>
      </c>
      <c r="S26" s="8">
        <v>138</v>
      </c>
      <c r="T26" s="8">
        <v>138</v>
      </c>
      <c r="U26" s="8">
        <v>140</v>
      </c>
      <c r="V26" s="8">
        <v>140</v>
      </c>
      <c r="W26" s="8">
        <v>140</v>
      </c>
      <c r="Z26" s="7" cm="1">
        <f t="array" ref="Z26:AS26">ROUNDUP((fixed_calls_per_hour_onnet_factor_noincoming/max_load)/access_sbc_software,0)*redundancy</f>
        <v>60</v>
      </c>
      <c r="AA26" s="8">
        <v>58</v>
      </c>
      <c r="AB26" s="8">
        <v>54</v>
      </c>
      <c r="AC26" s="8">
        <v>50</v>
      </c>
      <c r="AD26" s="8">
        <v>50</v>
      </c>
      <c r="AE26" s="8">
        <v>50</v>
      </c>
      <c r="AF26" s="8">
        <v>50</v>
      </c>
      <c r="AG26" s="8">
        <v>52</v>
      </c>
      <c r="AH26" s="8">
        <v>52</v>
      </c>
      <c r="AI26" s="8">
        <v>52</v>
      </c>
      <c r="AJ26" s="8">
        <v>52</v>
      </c>
      <c r="AK26" s="8">
        <v>52</v>
      </c>
      <c r="AL26" s="8">
        <v>52</v>
      </c>
      <c r="AM26" s="8">
        <v>52</v>
      </c>
      <c r="AN26" s="8">
        <v>52</v>
      </c>
      <c r="AO26" s="8">
        <v>54</v>
      </c>
      <c r="AP26" s="8">
        <v>54</v>
      </c>
      <c r="AQ26" s="8">
        <v>54</v>
      </c>
      <c r="AR26" s="8">
        <v>54</v>
      </c>
      <c r="AS26" s="8">
        <v>54</v>
      </c>
    </row>
    <row r="27" spans="1:46" x14ac:dyDescent="0.25">
      <c r="A27" s="8" t="s">
        <v>155</v>
      </c>
      <c r="B27" s="8" t="str">
        <f>'2 Dimensioning'!B54</f>
        <v>Concurrent sessions (calls per hour)</v>
      </c>
      <c r="C27" s="22" t="s">
        <v>143</v>
      </c>
      <c r="D27" s="7" cm="1">
        <f t="array" ref="D27:W27">ROUNDUP((fixed_calls_per_hour/max_load)/ix_sbc_hardware,0)*redundancy</f>
        <v>12</v>
      </c>
      <c r="E27" s="8">
        <v>12</v>
      </c>
      <c r="F27" s="8">
        <v>12</v>
      </c>
      <c r="G27" s="8">
        <v>12</v>
      </c>
      <c r="H27" s="8">
        <v>12</v>
      </c>
      <c r="I27" s="8">
        <v>12</v>
      </c>
      <c r="J27" s="8">
        <v>12</v>
      </c>
      <c r="K27" s="8">
        <v>12</v>
      </c>
      <c r="L27" s="8">
        <v>12</v>
      </c>
      <c r="M27" s="8">
        <v>12</v>
      </c>
      <c r="N27" s="8">
        <v>12</v>
      </c>
      <c r="O27" s="8">
        <v>12</v>
      </c>
      <c r="P27" s="8">
        <v>12</v>
      </c>
      <c r="Q27" s="8">
        <v>12</v>
      </c>
      <c r="R27" s="8">
        <v>12</v>
      </c>
      <c r="S27" s="8">
        <v>12</v>
      </c>
      <c r="T27" s="8">
        <v>12</v>
      </c>
      <c r="U27" s="8">
        <v>12</v>
      </c>
      <c r="V27" s="8">
        <v>12</v>
      </c>
      <c r="W27" s="8">
        <v>12</v>
      </c>
      <c r="Z27" s="7" cm="1">
        <f t="array" ref="Z27:AS27">ROUNDUP((fixed_calls_per_hour_noincoming/max_load)/ix_sbc_hardware,0)*redundancy</f>
        <v>4</v>
      </c>
      <c r="AA27" s="8">
        <v>4</v>
      </c>
      <c r="AB27" s="8">
        <v>4</v>
      </c>
      <c r="AC27" s="8">
        <v>4</v>
      </c>
      <c r="AD27" s="8">
        <v>4</v>
      </c>
      <c r="AE27" s="8">
        <v>4</v>
      </c>
      <c r="AF27" s="8">
        <v>4</v>
      </c>
      <c r="AG27" s="8">
        <v>4</v>
      </c>
      <c r="AH27" s="8">
        <v>4</v>
      </c>
      <c r="AI27" s="8">
        <v>4</v>
      </c>
      <c r="AJ27" s="8">
        <v>4</v>
      </c>
      <c r="AK27" s="8">
        <v>4</v>
      </c>
      <c r="AL27" s="8">
        <v>4</v>
      </c>
      <c r="AM27" s="8">
        <v>4</v>
      </c>
      <c r="AN27" s="8">
        <v>4</v>
      </c>
      <c r="AO27" s="8">
        <v>4</v>
      </c>
      <c r="AP27" s="8">
        <v>4</v>
      </c>
      <c r="AQ27" s="8">
        <v>4</v>
      </c>
      <c r="AR27" s="8">
        <v>4</v>
      </c>
      <c r="AS27" s="8">
        <v>4</v>
      </c>
    </row>
    <row r="28" spans="1:46" x14ac:dyDescent="0.25">
      <c r="A28" s="8" t="s">
        <v>156</v>
      </c>
      <c r="B28" s="8" t="str">
        <f>'2 Dimensioning'!B55</f>
        <v>Concurrent sessions (calls per hour)</v>
      </c>
      <c r="C28" s="22" t="s">
        <v>143</v>
      </c>
      <c r="D28" s="7" cm="1">
        <f t="array" ref="D28:W28">ROUNDUP((fixed_calls_per_hour/max_load)/ix_sbc_software,0)*redundancy</f>
        <v>22</v>
      </c>
      <c r="E28" s="8">
        <v>22</v>
      </c>
      <c r="F28" s="8">
        <v>24</v>
      </c>
      <c r="G28" s="8">
        <v>24</v>
      </c>
      <c r="H28" s="8">
        <v>24</v>
      </c>
      <c r="I28" s="8">
        <v>24</v>
      </c>
      <c r="J28" s="8">
        <v>24</v>
      </c>
      <c r="K28" s="8">
        <v>24</v>
      </c>
      <c r="L28" s="8">
        <v>24</v>
      </c>
      <c r="M28" s="8">
        <v>24</v>
      </c>
      <c r="N28" s="8">
        <v>24</v>
      </c>
      <c r="O28" s="8">
        <v>24</v>
      </c>
      <c r="P28" s="8">
        <v>24</v>
      </c>
      <c r="Q28" s="8">
        <v>24</v>
      </c>
      <c r="R28" s="8">
        <v>24</v>
      </c>
      <c r="S28" s="8">
        <v>24</v>
      </c>
      <c r="T28" s="8">
        <v>24</v>
      </c>
      <c r="U28" s="8">
        <v>24</v>
      </c>
      <c r="V28" s="8">
        <v>24</v>
      </c>
      <c r="W28" s="8">
        <v>24</v>
      </c>
      <c r="X28" s="20" t="s">
        <v>157</v>
      </c>
      <c r="Z28" s="7" cm="1">
        <f t="array" ref="Z28:AS28">ROUNDUP((fixed_calls_per_hour_noincoming/max_load)/ix_sbc_software,0)*redundancy</f>
        <v>8</v>
      </c>
      <c r="AA28" s="8">
        <v>8</v>
      </c>
      <c r="AB28" s="8">
        <v>8</v>
      </c>
      <c r="AC28" s="8">
        <v>8</v>
      </c>
      <c r="AD28" s="8">
        <v>8</v>
      </c>
      <c r="AE28" s="8">
        <v>8</v>
      </c>
      <c r="AF28" s="8">
        <v>8</v>
      </c>
      <c r="AG28" s="8">
        <v>8</v>
      </c>
      <c r="AH28" s="8">
        <v>8</v>
      </c>
      <c r="AI28" s="8">
        <v>8</v>
      </c>
      <c r="AJ28" s="8">
        <v>8</v>
      </c>
      <c r="AK28" s="8">
        <v>8</v>
      </c>
      <c r="AL28" s="8">
        <v>8</v>
      </c>
      <c r="AM28" s="8">
        <v>8</v>
      </c>
      <c r="AN28" s="8">
        <v>8</v>
      </c>
      <c r="AO28" s="8">
        <v>8</v>
      </c>
      <c r="AP28" s="8">
        <v>8</v>
      </c>
      <c r="AQ28" s="8">
        <v>8</v>
      </c>
      <c r="AR28" s="8">
        <v>8</v>
      </c>
      <c r="AS28" s="8">
        <v>8</v>
      </c>
      <c r="AT28" s="20" t="s">
        <v>158</v>
      </c>
    </row>
    <row r="29" spans="1:46" x14ac:dyDescent="0.25">
      <c r="A29" s="20" t="s">
        <v>159</v>
      </c>
      <c r="C29" s="20"/>
    </row>
    <row r="30" spans="1:46" x14ac:dyDescent="0.25">
      <c r="B30" s="20"/>
      <c r="C30" s="20"/>
      <c r="D30" s="20"/>
      <c r="Z30" s="20"/>
    </row>
    <row r="31" spans="1:46" x14ac:dyDescent="0.25">
      <c r="A31" s="17" t="s">
        <v>160</v>
      </c>
      <c r="B31" s="20"/>
      <c r="C31" s="20"/>
      <c r="D31" s="20"/>
      <c r="Z31" s="20"/>
    </row>
    <row r="32" spans="1:46" x14ac:dyDescent="0.25">
      <c r="B32" s="20"/>
      <c r="C32" s="20"/>
      <c r="D32" s="20"/>
      <c r="Z32" s="20"/>
    </row>
    <row r="33" spans="1:45" x14ac:dyDescent="0.25">
      <c r="A33" s="17" t="s">
        <v>161</v>
      </c>
      <c r="B33" s="20"/>
      <c r="C33" s="20"/>
      <c r="D33" s="20"/>
      <c r="Z33" s="20"/>
    </row>
    <row r="34" spans="1:45" x14ac:dyDescent="0.25">
      <c r="D34" s="54" t="s">
        <v>102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Z34" s="54" t="s">
        <v>134</v>
      </c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</row>
    <row r="35" spans="1:45" x14ac:dyDescent="0.25">
      <c r="D35" s="26"/>
      <c r="Z35" s="26"/>
    </row>
    <row r="36" spans="1:45" x14ac:dyDescent="0.25">
      <c r="B36" s="20"/>
      <c r="C36" s="20"/>
      <c r="D36" s="17">
        <v>1</v>
      </c>
      <c r="E36" s="17">
        <v>2</v>
      </c>
      <c r="F36" s="17">
        <v>3</v>
      </c>
      <c r="G36" s="17">
        <v>4</v>
      </c>
      <c r="H36" s="17">
        <v>5</v>
      </c>
      <c r="I36" s="17">
        <v>6</v>
      </c>
      <c r="J36" s="17">
        <v>7</v>
      </c>
      <c r="K36" s="17">
        <v>8</v>
      </c>
      <c r="L36" s="17">
        <v>9</v>
      </c>
      <c r="M36" s="17">
        <v>10</v>
      </c>
      <c r="N36" s="17">
        <v>11</v>
      </c>
      <c r="O36" s="17">
        <v>12</v>
      </c>
      <c r="P36" s="17">
        <v>13</v>
      </c>
      <c r="Q36" s="17">
        <v>14</v>
      </c>
      <c r="R36" s="17">
        <v>15</v>
      </c>
      <c r="S36" s="17">
        <v>16</v>
      </c>
      <c r="T36" s="17">
        <v>17</v>
      </c>
      <c r="U36" s="17">
        <v>18</v>
      </c>
      <c r="V36" s="17">
        <v>19</v>
      </c>
      <c r="W36" s="17">
        <v>20</v>
      </c>
      <c r="Z36" s="23" cm="1">
        <f t="array" ref="Z36:AS36">time_index</f>
        <v>1</v>
      </c>
      <c r="AA36">
        <v>2</v>
      </c>
      <c r="AB36" s="17">
        <v>3</v>
      </c>
      <c r="AC36" s="17">
        <v>4</v>
      </c>
      <c r="AD36" s="17">
        <v>5</v>
      </c>
      <c r="AE36" s="17">
        <v>6</v>
      </c>
      <c r="AF36" s="17">
        <v>7</v>
      </c>
      <c r="AG36" s="17">
        <v>8</v>
      </c>
      <c r="AH36" s="17">
        <v>9</v>
      </c>
      <c r="AI36" s="17">
        <v>10</v>
      </c>
      <c r="AJ36" s="17">
        <v>11</v>
      </c>
      <c r="AK36" s="17">
        <v>12</v>
      </c>
      <c r="AL36" s="17">
        <v>13</v>
      </c>
      <c r="AM36" s="17">
        <v>14</v>
      </c>
      <c r="AN36" s="17">
        <v>15</v>
      </c>
      <c r="AO36" s="17">
        <v>16</v>
      </c>
      <c r="AP36" s="17">
        <v>17</v>
      </c>
      <c r="AQ36" s="17">
        <v>18</v>
      </c>
      <c r="AR36" s="17">
        <v>19</v>
      </c>
      <c r="AS36" s="17">
        <v>20</v>
      </c>
    </row>
    <row r="37" spans="1:45" x14ac:dyDescent="0.25">
      <c r="A37" s="138"/>
      <c r="C37" s="26" t="s">
        <v>162</v>
      </c>
      <c r="D37" s="34" cm="1">
        <f t="array" ref="D37:W37">years</f>
        <v>2018</v>
      </c>
      <c r="E37" s="34">
        <v>2019</v>
      </c>
      <c r="F37" s="34">
        <v>2020</v>
      </c>
      <c r="G37" s="34">
        <v>2021</v>
      </c>
      <c r="H37" s="34">
        <v>2022</v>
      </c>
      <c r="I37" s="34">
        <v>2023</v>
      </c>
      <c r="J37" s="34">
        <v>2024</v>
      </c>
      <c r="K37" s="34">
        <v>2025</v>
      </c>
      <c r="L37" s="34">
        <v>2026</v>
      </c>
      <c r="M37" s="34">
        <v>2027</v>
      </c>
      <c r="N37" s="34">
        <v>2028</v>
      </c>
      <c r="O37" s="34">
        <v>2029</v>
      </c>
      <c r="P37" s="34">
        <v>2030</v>
      </c>
      <c r="Q37" s="34">
        <v>2031</v>
      </c>
      <c r="R37" s="34">
        <v>2032</v>
      </c>
      <c r="S37" s="34">
        <v>2033</v>
      </c>
      <c r="T37" s="34">
        <v>2034</v>
      </c>
      <c r="U37" s="34">
        <v>2035</v>
      </c>
      <c r="V37" s="34">
        <v>2036</v>
      </c>
      <c r="W37" s="34">
        <v>2037</v>
      </c>
      <c r="Z37" s="222" cm="1">
        <f t="array" ref="Z37:AS37">years</f>
        <v>2018</v>
      </c>
      <c r="AA37" s="223">
        <v>2019</v>
      </c>
      <c r="AB37" s="224">
        <v>2020</v>
      </c>
      <c r="AC37" s="224">
        <v>2021</v>
      </c>
      <c r="AD37" s="224">
        <v>2022</v>
      </c>
      <c r="AE37" s="224">
        <v>2023</v>
      </c>
      <c r="AF37" s="224">
        <v>2024</v>
      </c>
      <c r="AG37" s="224">
        <v>2025</v>
      </c>
      <c r="AH37" s="224">
        <v>2026</v>
      </c>
      <c r="AI37" s="224">
        <v>2027</v>
      </c>
      <c r="AJ37" s="224">
        <v>2028</v>
      </c>
      <c r="AK37" s="224">
        <v>2029</v>
      </c>
      <c r="AL37" s="224">
        <v>2030</v>
      </c>
      <c r="AM37" s="224">
        <v>2031</v>
      </c>
      <c r="AN37" s="224">
        <v>2032</v>
      </c>
      <c r="AO37" s="224">
        <v>2033</v>
      </c>
      <c r="AP37" s="224">
        <v>2034</v>
      </c>
      <c r="AQ37" s="224">
        <v>2035</v>
      </c>
      <c r="AR37" s="224">
        <v>2036</v>
      </c>
      <c r="AS37" s="224">
        <v>2037</v>
      </c>
    </row>
    <row r="38" spans="1:45" x14ac:dyDescent="0.25">
      <c r="A38" s="8" t="str" cm="1">
        <f t="array" ref="A38:A53">core_elements</f>
        <v>Application server hardware</v>
      </c>
      <c r="C38" s="11">
        <v>8</v>
      </c>
      <c r="D38" s="22">
        <f>D13</f>
        <v>2</v>
      </c>
      <c r="E38" s="22">
        <f>IF(E$36&lt;=$C38,MAX(E13-D13,0),
MAX(E13-D13,0)+IF(E13&gt;=INDEX($D36:E36,1,MATCH(E$36-$C38,$D$36:E$36)),INDEX($D38:E38,1,MATCH(E$36-$C38,$D$36:E$36)),E13))</f>
        <v>0</v>
      </c>
      <c r="F38" s="22">
        <f>IF(F$36&lt;=$C38,MAX(F13-E13,0),
MAX(F13-E13,0)+IF(F13&gt;=INDEX($D36:F36,1,MATCH(F$36-$C38,$D$36:F$36)),INDEX($D38:F38,1,MATCH(F$36-$C38,$D$36:F$36)),F13))</f>
        <v>0</v>
      </c>
      <c r="G38" s="22">
        <f>IF(G$36&lt;=$C38,MAX(G13-F13,0),
MAX(G13-F13,0)+IF(G13&gt;=INDEX($D36:G36,1,MATCH(G$36-$C38,$D$36:G$36)),INDEX($D38:G38,1,MATCH(G$36-$C38,$D$36:G$36)),G13))</f>
        <v>0</v>
      </c>
      <c r="H38" s="22">
        <f>IF(H$36&lt;=$C38,MAX(H13-G13,0),
MAX(H13-G13,0)+IF(H13&gt;=INDEX($D36:H36,1,MATCH(H$36-$C38,$D$36:H$36)),INDEX($D38:H38,1,MATCH(H$36-$C38,$D$36:H$36)),H13))</f>
        <v>0</v>
      </c>
      <c r="I38" s="22">
        <f>IF(I$36&lt;=$C38,MAX(I13-H13,0),
MAX(I13-H13,0)+IF(I13&gt;=INDEX($D36:I36,1,MATCH(I$36-$C38,$D$36:I$36)),INDEX($D38:I38,1,MATCH(I$36-$C38,$D$36:I$36)),I13))</f>
        <v>0</v>
      </c>
      <c r="J38" s="22">
        <f>IF(J$36&lt;=$C38,MAX(J13-I13,0),
MAX(J13-I13,0)+IF(J13&gt;=INDEX($D36:J36,1,MATCH(J$36-$C38,$D$36:J$36)),INDEX($D38:J38,1,MATCH(J$36-$C38,$D$36:J$36)),J13))</f>
        <v>0</v>
      </c>
      <c r="K38" s="22">
        <f>IF(K$36&lt;=$C38,MAX(K13-J13,0),
MAX(K13-J13,0)+IF(K13&gt;=INDEX($D36:K36,1,MATCH(K$36-$C38,$D$36:K$36)),INDEX($D38:K38,1,MATCH(K$36-$C38,$D$36:K$36)),K13))</f>
        <v>0</v>
      </c>
      <c r="L38" s="22">
        <f>IF(L$36&lt;=$C38,MAX(L13-K13,0),
MAX(L13-K13,0)+IF(L13&gt;=INDEX($D36:L36,1,MATCH(L$36-$C38,$D$36:L$36)),INDEX($D38:L38,1,MATCH(L$36-$C38,$D$36:L$36)),L13))</f>
        <v>2</v>
      </c>
      <c r="M38" s="22">
        <f>IF(M$36&lt;=$C38,MAX(M13-L13,0),
MAX(M13-L13,0)+IF(M13&gt;=INDEX($D36:M36,1,MATCH(M$36-$C38,$D$36:M$36)),INDEX($D38:M38,1,MATCH(M$36-$C38,$D$36:M$36)),M13))</f>
        <v>0</v>
      </c>
      <c r="N38" s="22">
        <f>IF(N$36&lt;=$C38,MAX(N13-M13,0),
MAX(N13-M13,0)+IF(N13&gt;=INDEX($D36:N36,1,MATCH(N$36-$C38,$D$36:N$36)),INDEX($D38:N38,1,MATCH(N$36-$C38,$D$36:N$36)),N13))</f>
        <v>2</v>
      </c>
      <c r="O38" s="22">
        <f>IF(O$36&lt;=$C38,MAX(O13-N13,0),
MAX(O13-N13,0)+IF(O13&gt;=INDEX($D36:O36,1,MATCH(O$36-$C38,$D$36:O$36)),INDEX($D38:O38,1,MATCH(O$36-$C38,$D$36:O$36)),O13))</f>
        <v>2</v>
      </c>
      <c r="P38" s="22">
        <f>IF(P$36&lt;=$C38,MAX(P13-O13,0),
MAX(P13-O13,0)+IF(P13&gt;=INDEX($D36:P36,1,MATCH(P$36-$C38,$D$36:P$36)),INDEX($D38:P38,1,MATCH(P$36-$C38,$D$36:P$36)),P13))</f>
        <v>2</v>
      </c>
      <c r="Q38" s="22">
        <f>IF(Q$36&lt;=$C38,MAX(Q13-P13,0),
MAX(Q13-P13,0)+IF(Q13&gt;=INDEX($D36:Q36,1,MATCH(Q$36-$C38,$D$36:Q$36)),INDEX($D38:Q38,1,MATCH(Q$36-$C38,$D$36:Q$36)),Q13))</f>
        <v>2</v>
      </c>
      <c r="R38" s="22">
        <f>IF(R$36&lt;=$C38,MAX(R13-Q13,0),
MAX(R13-Q13,0)+IF(R13&gt;=INDEX($D36:R36,1,MATCH(R$36-$C38,$D$36:R$36)),INDEX($D38:R38,1,MATCH(R$36-$C38,$D$36:R$36)),R13))</f>
        <v>2</v>
      </c>
      <c r="S38" s="22">
        <f>IF(S$36&lt;=$C38,MAX(S13-R13,0),
MAX(S13-R13,0)+IF(S13&gt;=INDEX($D36:S36,1,MATCH(S$36-$C38,$D$36:S$36)),INDEX($D38:S38,1,MATCH(S$36-$C38,$D$36:S$36)),S13))</f>
        <v>2</v>
      </c>
      <c r="T38" s="22">
        <f>IF(T$36&lt;=$C38,MAX(T13-S13,0),
MAX(T13-S13,0)+IF(T13&gt;=INDEX($D36:T36,1,MATCH(T$36-$C38,$D$36:T$36)),INDEX($D38:T38,1,MATCH(T$36-$C38,$D$36:T$36)),T13))</f>
        <v>2</v>
      </c>
      <c r="U38" s="22">
        <f>IF(U$36&lt;=$C38,MAX(U13-T13,0),
MAX(U13-T13,0)+IF(U13&gt;=INDEX($D36:U36,1,MATCH(U$36-$C38,$D$36:U$36)),INDEX($D38:U38,1,MATCH(U$36-$C38,$D$36:U$36)),U13))</f>
        <v>2</v>
      </c>
      <c r="V38" s="22">
        <f>IF(V$36&lt;=$C38,MAX(V13-U13,0),
MAX(V13-U13,0)+IF(V13&gt;=INDEX($D36:V36,1,MATCH(V$36-$C38,$D$36:V$36)),INDEX($D38:V38,1,MATCH(V$36-$C38,$D$36:V$36)),V13))</f>
        <v>2</v>
      </c>
      <c r="W38" s="22">
        <f>IF(W$36&lt;=$C38,MAX(W13-V13,0),
MAX(W13-V13,0)+IF(W13&gt;=INDEX($D36:W36,1,MATCH(W$36-$C38,$D$36:W$36)),INDEX($D38:W38,1,MATCH(W$36-$C38,$D$36:W$36)),W13))</f>
        <v>2</v>
      </c>
      <c r="Z38" s="22">
        <f>Z13</f>
        <v>2</v>
      </c>
      <c r="AA38" s="22">
        <f>IF(AA$36&lt;=$C38,AA13-Z13,
AA13-Z13+INDEX($Z38:AA38,1,MATCH(AA$36-$C38,$Z$36:AA$36)))</f>
        <v>0</v>
      </c>
      <c r="AB38" s="22">
        <f>IF(AB$36&lt;=$C38,AB13-AA13,
AB13-AA13+INDEX($Z38:AB38,1,MATCH(AB$36-$C38,$Z$36:AB$36)))</f>
        <v>0</v>
      </c>
      <c r="AC38" s="22">
        <f>IF(AC$36&lt;=$C38,AC13-AB13,
AC13-AB13+INDEX($Z38:AC38,1,MATCH(AC$36-$C38,$Z$36:AC$36)))</f>
        <v>0</v>
      </c>
      <c r="AD38" s="22">
        <f>IF(AD$36&lt;=$C38,AD13-AC13,
AD13-AC13+INDEX($Z38:AD38,1,MATCH(AD$36-$C38,$Z$36:AD$36)))</f>
        <v>0</v>
      </c>
      <c r="AE38" s="22">
        <f>IF(AE$36&lt;=$C38,AE13-AD13,
AE13-AD13+INDEX($Z38:AE38,1,MATCH(AE$36-$C38,$Z$36:AE$36)))</f>
        <v>0</v>
      </c>
      <c r="AF38" s="22">
        <f>IF(AF$36&lt;=$C38,AF13-AE13,
AF13-AE13+INDEX($Z38:AF38,1,MATCH(AF$36-$C38,$Z$36:AF$36)))</f>
        <v>0</v>
      </c>
      <c r="AG38" s="22">
        <f>IF(AG$36&lt;=$C38,AG13-AF13,
AG13-AF13+INDEX($Z38:AG38,1,MATCH(AG$36-$C38,$Z$36:AG$36)))</f>
        <v>0</v>
      </c>
      <c r="AH38" s="22">
        <f>IF(AH$36&lt;=$C38,AH13-AG13,
AH13-AG13+INDEX($Z38:AH38,1,MATCH(AH$36-$C38,$Z$36:AH$36)))</f>
        <v>2</v>
      </c>
      <c r="AI38" s="22">
        <f>IF(AI$36&lt;=$C38,AI13-AH13,
AI13-AH13+INDEX($Z38:AI38,1,MATCH(AI$36-$C38,$Z$36:AI$36)))</f>
        <v>0</v>
      </c>
      <c r="AJ38" s="22">
        <f>IF(AJ$36&lt;=$C38,AJ13-AI13,
AJ13-AI13+INDEX($Z38:AJ38,1,MATCH(AJ$36-$C38,$Z$36:AJ$36)))</f>
        <v>0</v>
      </c>
      <c r="AK38" s="22">
        <f>IF(AK$36&lt;=$C38,AK13-AJ13,
AK13-AJ13+INDEX($Z38:AK38,1,MATCH(AK$36-$C38,$Z$36:AK$36)))</f>
        <v>0</v>
      </c>
      <c r="AL38" s="22">
        <f>IF(AL$36&lt;=$C38,AL13-AK13,
AL13-AK13+INDEX($Z38:AL38,1,MATCH(AL$36-$C38,$Z$36:AL$36)))</f>
        <v>0</v>
      </c>
      <c r="AM38" s="22">
        <f>IF(AM$36&lt;=$C38,AM13-AL13,
AM13-AL13+INDEX($Z38:AM38,1,MATCH(AM$36-$C38,$Z$36:AM$36)))</f>
        <v>0</v>
      </c>
      <c r="AN38" s="22">
        <f>IF(AN$36&lt;=$C38,AN13-AM13,
AN13-AM13+INDEX($Z38:AN38,1,MATCH(AN$36-$C38,$Z$36:AN$36)))</f>
        <v>0</v>
      </c>
      <c r="AO38" s="22">
        <f>IF(AO$36&lt;=$C38,AO13-AN13,
AO13-AN13+INDEX($Z38:AO38,1,MATCH(AO$36-$C38,$Z$36:AO$36)))</f>
        <v>0</v>
      </c>
      <c r="AP38" s="22">
        <f>IF(AP$36&lt;=$C38,AP13-AO13,
AP13-AO13+INDEX($Z38:AP38,1,MATCH(AP$36-$C38,$Z$36:AP$36)))</f>
        <v>2</v>
      </c>
      <c r="AQ38" s="22">
        <f>IF(AQ$36&lt;=$C38,AQ13-AP13,
AQ13-AP13+INDEX($Z38:AQ38,1,MATCH(AQ$36-$C38,$Z$36:AQ$36)))</f>
        <v>0</v>
      </c>
      <c r="AR38" s="22">
        <f>IF(AR$36&lt;=$C38,AR13-AQ13,
AR13-AQ13+INDEX($Z38:AR38,1,MATCH(AR$36-$C38,$Z$36:AR$36)))</f>
        <v>0</v>
      </c>
      <c r="AS38" s="22">
        <f>IF(AS$36&lt;=$C38,AS13-AR13,
AS13-AR13+INDEX($Z38:AS38,1,MATCH(AS$36-$C38,$Z$36:AS$36)))</f>
        <v>0</v>
      </c>
    </row>
    <row r="39" spans="1:45" x14ac:dyDescent="0.25">
      <c r="A39" s="8" t="str">
        <v>Application server software</v>
      </c>
      <c r="C39" s="11">
        <v>8</v>
      </c>
      <c r="D39" s="22">
        <f t="shared" ref="D39:D53" si="0">D14</f>
        <v>2</v>
      </c>
      <c r="E39" s="22">
        <f>IF(E$36&lt;=$C39,MAX(E14-D14,0),
MAX(E14-D14,0)+IF(E14&gt;=INDEX($D37:E37,1,MATCH(E$36-$C39,$D$36:E$36)),INDEX($D39:E39,1,MATCH(E$36-$C39,$D$36:E$36)),E14))</f>
        <v>0</v>
      </c>
      <c r="F39" s="22">
        <f>IF(F$36&lt;=$C39,MAX(F14-E14,0),
MAX(F14-E14,0)+IF(F14&gt;=INDEX($D37:F37,1,MATCH(F$36-$C39,$D$36:F$36)),INDEX($D39:F39,1,MATCH(F$36-$C39,$D$36:F$36)),F14))</f>
        <v>0</v>
      </c>
      <c r="G39" s="22">
        <f>IF(G$36&lt;=$C39,MAX(G14-F14,0),
MAX(G14-F14,0)+IF(G14&gt;=INDEX($D37:G37,1,MATCH(G$36-$C39,$D$36:G$36)),INDEX($D39:G39,1,MATCH(G$36-$C39,$D$36:G$36)),G14))</f>
        <v>0</v>
      </c>
      <c r="H39" s="22">
        <f>IF(H$36&lt;=$C39,MAX(H14-G14,0),
MAX(H14-G14,0)+IF(H14&gt;=INDEX($D37:H37,1,MATCH(H$36-$C39,$D$36:H$36)),INDEX($D39:H39,1,MATCH(H$36-$C39,$D$36:H$36)),H14))</f>
        <v>0</v>
      </c>
      <c r="I39" s="22">
        <f>IF(I$36&lt;=$C39,MAX(I14-H14,0),
MAX(I14-H14,0)+IF(I14&gt;=INDEX($D37:I37,1,MATCH(I$36-$C39,$D$36:I$36)),INDEX($D39:I39,1,MATCH(I$36-$C39,$D$36:I$36)),I14))</f>
        <v>0</v>
      </c>
      <c r="J39" s="22">
        <f>IF(J$36&lt;=$C39,MAX(J14-I14,0),
MAX(J14-I14,0)+IF(J14&gt;=INDEX($D37:J37,1,MATCH(J$36-$C39,$D$36:J$36)),INDEX($D39:J39,1,MATCH(J$36-$C39,$D$36:J$36)),J14))</f>
        <v>0</v>
      </c>
      <c r="K39" s="22">
        <f>IF(K$36&lt;=$C39,MAX(K14-J14,0),
MAX(K14-J14,0)+IF(K14&gt;=INDEX($D37:K37,1,MATCH(K$36-$C39,$D$36:K$36)),INDEX($D39:K39,1,MATCH(K$36-$C39,$D$36:K$36)),K14))</f>
        <v>0</v>
      </c>
      <c r="L39" s="22">
        <f>IF(L$36&lt;=$C39,MAX(L14-K14,0),
MAX(L14-K14,0)+IF(L14&gt;=INDEX($D37:L37,1,MATCH(L$36-$C39,$D$36:L$36)),INDEX($D39:L39,1,MATCH(L$36-$C39,$D$36:L$36)),L14))</f>
        <v>2</v>
      </c>
      <c r="M39" s="22">
        <f>IF(M$36&lt;=$C39,MAX(M14-L14,0),
MAX(M14-L14,0)+IF(M14&gt;=INDEX($D37:M37,1,MATCH(M$36-$C39,$D$36:M$36)),INDEX($D39:M39,1,MATCH(M$36-$C39,$D$36:M$36)),M14))</f>
        <v>2</v>
      </c>
      <c r="N39" s="22">
        <f>IF(N$36&lt;=$C39,MAX(N14-M14,0),
MAX(N14-M14,0)+IF(N14&gt;=INDEX($D37:N37,1,MATCH(N$36-$C39,$D$36:N$36)),INDEX($D39:N39,1,MATCH(N$36-$C39,$D$36:N$36)),N14))</f>
        <v>2</v>
      </c>
      <c r="O39" s="22">
        <f>IF(O$36&lt;=$C39,MAX(O14-N14,0),
MAX(O14-N14,0)+IF(O14&gt;=INDEX($D37:O37,1,MATCH(O$36-$C39,$D$36:O$36)),INDEX($D39:O39,1,MATCH(O$36-$C39,$D$36:O$36)),O14))</f>
        <v>2</v>
      </c>
      <c r="P39" s="22">
        <f>IF(P$36&lt;=$C39,MAX(P14-O14,0),
MAX(P14-O14,0)+IF(P14&gt;=INDEX($D37:P37,1,MATCH(P$36-$C39,$D$36:P$36)),INDEX($D39:P39,1,MATCH(P$36-$C39,$D$36:P$36)),P14))</f>
        <v>2</v>
      </c>
      <c r="Q39" s="22">
        <f>IF(Q$36&lt;=$C39,MAX(Q14-P14,0),
MAX(Q14-P14,0)+IF(Q14&gt;=INDEX($D37:Q37,1,MATCH(Q$36-$C39,$D$36:Q$36)),INDEX($D39:Q39,1,MATCH(Q$36-$C39,$D$36:Q$36)),Q14))</f>
        <v>2</v>
      </c>
      <c r="R39" s="22">
        <f>IF(R$36&lt;=$C39,MAX(R14-Q14,0),
MAX(R14-Q14,0)+IF(R14&gt;=INDEX($D37:R37,1,MATCH(R$36-$C39,$D$36:R$36)),INDEX($D39:R39,1,MATCH(R$36-$C39,$D$36:R$36)),R14))</f>
        <v>2</v>
      </c>
      <c r="S39" s="22">
        <f>IF(S$36&lt;=$C39,MAX(S14-R14,0),
MAX(S14-R14,0)+IF(S14&gt;=INDEX($D37:S37,1,MATCH(S$36-$C39,$D$36:S$36)),INDEX($D39:S39,1,MATCH(S$36-$C39,$D$36:S$36)),S14))</f>
        <v>2</v>
      </c>
      <c r="T39" s="22">
        <f>IF(T$36&lt;=$C39,MAX(T14-S14,0),
MAX(T14-S14,0)+IF(T14&gt;=INDEX($D37:T37,1,MATCH(T$36-$C39,$D$36:T$36)),INDEX($D39:T39,1,MATCH(T$36-$C39,$D$36:T$36)),T14))</f>
        <v>2</v>
      </c>
      <c r="U39" s="22">
        <f>IF(U$36&lt;=$C39,MAX(U14-T14,0),
MAX(U14-T14,0)+IF(U14&gt;=INDEX($D37:U37,1,MATCH(U$36-$C39,$D$36:U$36)),INDEX($D39:U39,1,MATCH(U$36-$C39,$D$36:U$36)),U14))</f>
        <v>2</v>
      </c>
      <c r="V39" s="22">
        <f>IF(V$36&lt;=$C39,MAX(V14-U14,0),
MAX(V14-U14,0)+IF(V14&gt;=INDEX($D37:V37,1,MATCH(V$36-$C39,$D$36:V$36)),INDEX($D39:V39,1,MATCH(V$36-$C39,$D$36:V$36)),V14))</f>
        <v>2</v>
      </c>
      <c r="W39" s="22">
        <f>IF(W$36&lt;=$C39,MAX(W14-V14,0),
MAX(W14-V14,0)+IF(W14&gt;=INDEX($D37:W37,1,MATCH(W$36-$C39,$D$36:W$36)),INDEX($D39:W39,1,MATCH(W$36-$C39,$D$36:W$36)),W14))</f>
        <v>2</v>
      </c>
      <c r="Z39" s="22">
        <f t="shared" ref="Z39:Z53" si="1">Z14</f>
        <v>2</v>
      </c>
      <c r="AA39" s="22">
        <f>IF(AA$36&lt;=$C39,AA14-Z14,
AA14-Z14+INDEX($Z39:AA39,1,MATCH(AA$36-$C39,$Z$36:AA$36)))</f>
        <v>0</v>
      </c>
      <c r="AB39" s="22">
        <f>IF(AB$36&lt;=$C39,AB14-AA14,
AB14-AA14+INDEX($Z39:AB39,1,MATCH(AB$36-$C39,$Z$36:AB$36)))</f>
        <v>0</v>
      </c>
      <c r="AC39" s="22">
        <f>IF(AC$36&lt;=$C39,AC14-AB14,
AC14-AB14+INDEX($Z39:AC39,1,MATCH(AC$36-$C39,$Z$36:AC$36)))</f>
        <v>0</v>
      </c>
      <c r="AD39" s="22">
        <f>IF(AD$36&lt;=$C39,AD14-AC14,
AD14-AC14+INDEX($Z39:AD39,1,MATCH(AD$36-$C39,$Z$36:AD$36)))</f>
        <v>0</v>
      </c>
      <c r="AE39" s="22">
        <f>IF(AE$36&lt;=$C39,AE14-AD14,
AE14-AD14+INDEX($Z39:AE39,1,MATCH(AE$36-$C39,$Z$36:AE$36)))</f>
        <v>0</v>
      </c>
      <c r="AF39" s="22">
        <f>IF(AF$36&lt;=$C39,AF14-AE14,
AF14-AE14+INDEX($Z39:AF39,1,MATCH(AF$36-$C39,$Z$36:AF$36)))</f>
        <v>0</v>
      </c>
      <c r="AG39" s="22">
        <f>IF(AG$36&lt;=$C39,AG14-AF14,
AG14-AF14+INDEX($Z39:AG39,1,MATCH(AG$36-$C39,$Z$36:AG$36)))</f>
        <v>0</v>
      </c>
      <c r="AH39" s="22">
        <f>IF(AH$36&lt;=$C39,AH14-AG14,
AH14-AG14+INDEX($Z39:AH39,1,MATCH(AH$36-$C39,$Z$36:AH$36)))</f>
        <v>2</v>
      </c>
      <c r="AI39" s="22">
        <f>IF(AI$36&lt;=$C39,AI14-AH14,
AI14-AH14+INDEX($Z39:AI39,1,MATCH(AI$36-$C39,$Z$36:AI$36)))</f>
        <v>0</v>
      </c>
      <c r="AJ39" s="22">
        <f>IF(AJ$36&lt;=$C39,AJ14-AI14,
AJ14-AI14+INDEX($Z39:AJ39,1,MATCH(AJ$36-$C39,$Z$36:AJ$36)))</f>
        <v>0</v>
      </c>
      <c r="AK39" s="22">
        <f>IF(AK$36&lt;=$C39,AK14-AJ14,
AK14-AJ14+INDEX($Z39:AK39,1,MATCH(AK$36-$C39,$Z$36:AK$36)))</f>
        <v>0</v>
      </c>
      <c r="AL39" s="22">
        <f>IF(AL$36&lt;=$C39,AL14-AK14,
AL14-AK14+INDEX($Z39:AL39,1,MATCH(AL$36-$C39,$Z$36:AL$36)))</f>
        <v>0</v>
      </c>
      <c r="AM39" s="22">
        <f>IF(AM$36&lt;=$C39,AM14-AL14,
AM14-AL14+INDEX($Z39:AM39,1,MATCH(AM$36-$C39,$Z$36:AM$36)))</f>
        <v>0</v>
      </c>
      <c r="AN39" s="22">
        <f>IF(AN$36&lt;=$C39,AN14-AM14,
AN14-AM14+INDEX($Z39:AN39,1,MATCH(AN$36-$C39,$Z$36:AN$36)))</f>
        <v>0</v>
      </c>
      <c r="AO39" s="22">
        <f>IF(AO$36&lt;=$C39,AO14-AN14,
AO14-AN14+INDEX($Z39:AO39,1,MATCH(AO$36-$C39,$Z$36:AO$36)))</f>
        <v>0</v>
      </c>
      <c r="AP39" s="22">
        <f>IF(AP$36&lt;=$C39,AP14-AO14,
AP14-AO14+INDEX($Z39:AP39,1,MATCH(AP$36-$C39,$Z$36:AP$36)))</f>
        <v>2</v>
      </c>
      <c r="AQ39" s="22">
        <f>IF(AQ$36&lt;=$C39,AQ14-AP14,
AQ14-AP14+INDEX($Z39:AQ39,1,MATCH(AQ$36-$C39,$Z$36:AQ$36)))</f>
        <v>0</v>
      </c>
      <c r="AR39" s="22">
        <f>IF(AR$36&lt;=$C39,AR14-AQ14,
AR14-AQ14+INDEX($Z39:AR39,1,MATCH(AR$36-$C39,$Z$36:AR$36)))</f>
        <v>0</v>
      </c>
      <c r="AS39" s="22">
        <f>IF(AS$36&lt;=$C39,AS14-AR14,
AS14-AR14+INDEX($Z39:AS39,1,MATCH(AS$36-$C39,$Z$36:AS$36)))</f>
        <v>0</v>
      </c>
    </row>
    <row r="40" spans="1:45" x14ac:dyDescent="0.25">
      <c r="A40" s="8" t="str">
        <v>Charging data function hardware</v>
      </c>
      <c r="C40" s="11">
        <v>8</v>
      </c>
      <c r="D40" s="22">
        <f t="shared" si="0"/>
        <v>2</v>
      </c>
      <c r="E40" s="22">
        <f>IF(E$36&lt;=$C40,MAX(E15-D15,0),
MAX(E15-D15,0)+IF(E15&gt;=INDEX($D38:E38,1,MATCH(E$36-$C40,$D$36:E$36)),INDEX($D40:E40,1,MATCH(E$36-$C40,$D$36:E$36)),E15))</f>
        <v>0</v>
      </c>
      <c r="F40" s="22">
        <f>IF(F$36&lt;=$C40,MAX(F15-E15,0),
MAX(F15-E15,0)+IF(F15&gt;=INDEX($D38:F38,1,MATCH(F$36-$C40,$D$36:F$36)),INDEX($D40:F40,1,MATCH(F$36-$C40,$D$36:F$36)),F15))</f>
        <v>0</v>
      </c>
      <c r="G40" s="22">
        <f>IF(G$36&lt;=$C40,MAX(G15-F15,0),
MAX(G15-F15,0)+IF(G15&gt;=INDEX($D38:G38,1,MATCH(G$36-$C40,$D$36:G$36)),INDEX($D40:G40,1,MATCH(G$36-$C40,$D$36:G$36)),G15))</f>
        <v>0</v>
      </c>
      <c r="H40" s="22">
        <f>IF(H$36&lt;=$C40,MAX(H15-G15,0),
MAX(H15-G15,0)+IF(H15&gt;=INDEX($D38:H38,1,MATCH(H$36-$C40,$D$36:H$36)),INDEX($D40:H40,1,MATCH(H$36-$C40,$D$36:H$36)),H15))</f>
        <v>0</v>
      </c>
      <c r="I40" s="22">
        <f>IF(I$36&lt;=$C40,MAX(I15-H15,0),
MAX(I15-H15,0)+IF(I15&gt;=INDEX($D38:I38,1,MATCH(I$36-$C40,$D$36:I$36)),INDEX($D40:I40,1,MATCH(I$36-$C40,$D$36:I$36)),I15))</f>
        <v>0</v>
      </c>
      <c r="J40" s="22">
        <f>IF(J$36&lt;=$C40,MAX(J15-I15,0),
MAX(J15-I15,0)+IF(J15&gt;=INDEX($D38:J38,1,MATCH(J$36-$C40,$D$36:J$36)),INDEX($D40:J40,1,MATCH(J$36-$C40,$D$36:J$36)),J15))</f>
        <v>0</v>
      </c>
      <c r="K40" s="22">
        <f>IF(K$36&lt;=$C40,MAX(K15-J15,0),
MAX(K15-J15,0)+IF(K15&gt;=INDEX($D38:K38,1,MATCH(K$36-$C40,$D$36:K$36)),INDEX($D40:K40,1,MATCH(K$36-$C40,$D$36:K$36)),K15))</f>
        <v>0</v>
      </c>
      <c r="L40" s="22">
        <f>IF(L$36&lt;=$C40,MAX(L15-K15,0),
MAX(L15-K15,0)+IF(L15&gt;=INDEX($D38:L38,1,MATCH(L$36-$C40,$D$36:L$36)),INDEX($D40:L40,1,MATCH(L$36-$C40,$D$36:L$36)),L15))</f>
        <v>2</v>
      </c>
      <c r="M40" s="22">
        <f>IF(M$36&lt;=$C40,MAX(M15-L15,0),
MAX(M15-L15,0)+IF(M15&gt;=INDEX($D38:M38,1,MATCH(M$36-$C40,$D$36:M$36)),INDEX($D40:M40,1,MATCH(M$36-$C40,$D$36:M$36)),M15))</f>
        <v>0</v>
      </c>
      <c r="N40" s="22">
        <f>IF(N$36&lt;=$C40,MAX(N15-M15,0),
MAX(N15-M15,0)+IF(N15&gt;=INDEX($D38:N38,1,MATCH(N$36-$C40,$D$36:N$36)),INDEX($D40:N40,1,MATCH(N$36-$C40,$D$36:N$36)),N15))</f>
        <v>0</v>
      </c>
      <c r="O40" s="22">
        <f>IF(O$36&lt;=$C40,MAX(O15-N15,0),
MAX(O15-N15,0)+IF(O15&gt;=INDEX($D38:O38,1,MATCH(O$36-$C40,$D$36:O$36)),INDEX($D40:O40,1,MATCH(O$36-$C40,$D$36:O$36)),O15))</f>
        <v>0</v>
      </c>
      <c r="P40" s="22">
        <f>IF(P$36&lt;=$C40,MAX(P15-O15,0),
MAX(P15-O15,0)+IF(P15&gt;=INDEX($D38:P38,1,MATCH(P$36-$C40,$D$36:P$36)),INDEX($D40:P40,1,MATCH(P$36-$C40,$D$36:P$36)),P15))</f>
        <v>0</v>
      </c>
      <c r="Q40" s="22">
        <f>IF(Q$36&lt;=$C40,MAX(Q15-P15,0),
MAX(Q15-P15,0)+IF(Q15&gt;=INDEX($D38:Q38,1,MATCH(Q$36-$C40,$D$36:Q$36)),INDEX($D40:Q40,1,MATCH(Q$36-$C40,$D$36:Q$36)),Q15))</f>
        <v>0</v>
      </c>
      <c r="R40" s="22">
        <f>IF(R$36&lt;=$C40,MAX(R15-Q15,0),
MAX(R15-Q15,0)+IF(R15&gt;=INDEX($D38:R38,1,MATCH(R$36-$C40,$D$36:R$36)),INDEX($D40:R40,1,MATCH(R$36-$C40,$D$36:R$36)),R15))</f>
        <v>0</v>
      </c>
      <c r="S40" s="22">
        <f>IF(S$36&lt;=$C40,MAX(S15-R15,0),
MAX(S15-R15,0)+IF(S15&gt;=INDEX($D38:S38,1,MATCH(S$36-$C40,$D$36:S$36)),INDEX($D40:S40,1,MATCH(S$36-$C40,$D$36:S$36)),S15))</f>
        <v>0</v>
      </c>
      <c r="T40" s="22">
        <f>IF(T$36&lt;=$C40,MAX(T15-S15,0),
MAX(T15-S15,0)+IF(T15&gt;=INDEX($D38:T38,1,MATCH(T$36-$C40,$D$36:T$36)),INDEX($D40:T40,1,MATCH(T$36-$C40,$D$36:T$36)),T15))</f>
        <v>2</v>
      </c>
      <c r="U40" s="22">
        <f>IF(U$36&lt;=$C40,MAX(U15-T15,0),
MAX(U15-T15,0)+IF(U15&gt;=INDEX($D38:U38,1,MATCH(U$36-$C40,$D$36:U$36)),INDEX($D40:U40,1,MATCH(U$36-$C40,$D$36:U$36)),U15))</f>
        <v>0</v>
      </c>
      <c r="V40" s="22">
        <f>IF(V$36&lt;=$C40,MAX(V15-U15,0),
MAX(V15-U15,0)+IF(V15&gt;=INDEX($D38:V38,1,MATCH(V$36-$C40,$D$36:V$36)),INDEX($D40:V40,1,MATCH(V$36-$C40,$D$36:V$36)),V15))</f>
        <v>0</v>
      </c>
      <c r="W40" s="22">
        <f>IF(W$36&lt;=$C40,MAX(W15-V15,0),
MAX(W15-V15,0)+IF(W15&gt;=INDEX($D38:W38,1,MATCH(W$36-$C40,$D$36:W$36)),INDEX($D40:W40,1,MATCH(W$36-$C40,$D$36:W$36)),W15))</f>
        <v>0</v>
      </c>
      <c r="Z40" s="22">
        <f t="shared" si="1"/>
        <v>2</v>
      </c>
      <c r="AA40" s="22">
        <f>IF(AA$36&lt;=$C40,AA15-Z15,
AA15-Z15+INDEX($Z40:AA40,1,MATCH(AA$36-$C40,$Z$36:AA$36)))</f>
        <v>0</v>
      </c>
      <c r="AB40" s="22">
        <f>IF(AB$36&lt;=$C40,AB15-AA15,
AB15-AA15+INDEX($Z40:AB40,1,MATCH(AB$36-$C40,$Z$36:AB$36)))</f>
        <v>0</v>
      </c>
      <c r="AC40" s="22">
        <f>IF(AC$36&lt;=$C40,AC15-AB15,
AC15-AB15+INDEX($Z40:AC40,1,MATCH(AC$36-$C40,$Z$36:AC$36)))</f>
        <v>0</v>
      </c>
      <c r="AD40" s="22">
        <f>IF(AD$36&lt;=$C40,AD15-AC15,
AD15-AC15+INDEX($Z40:AD40,1,MATCH(AD$36-$C40,$Z$36:AD$36)))</f>
        <v>0</v>
      </c>
      <c r="AE40" s="22">
        <f>IF(AE$36&lt;=$C40,AE15-AD15,
AE15-AD15+INDEX($Z40:AE40,1,MATCH(AE$36-$C40,$Z$36:AE$36)))</f>
        <v>0</v>
      </c>
      <c r="AF40" s="22">
        <f>IF(AF$36&lt;=$C40,AF15-AE15,
AF15-AE15+INDEX($Z40:AF40,1,MATCH(AF$36-$C40,$Z$36:AF$36)))</f>
        <v>0</v>
      </c>
      <c r="AG40" s="22">
        <f>IF(AG$36&lt;=$C40,AG15-AF15,
AG15-AF15+INDEX($Z40:AG40,1,MATCH(AG$36-$C40,$Z$36:AG$36)))</f>
        <v>0</v>
      </c>
      <c r="AH40" s="22">
        <f>IF(AH$36&lt;=$C40,AH15-AG15,
AH15-AG15+INDEX($Z40:AH40,1,MATCH(AH$36-$C40,$Z$36:AH$36)))</f>
        <v>2</v>
      </c>
      <c r="AI40" s="22">
        <f>IF(AI$36&lt;=$C40,AI15-AH15,
AI15-AH15+INDEX($Z40:AI40,1,MATCH(AI$36-$C40,$Z$36:AI$36)))</f>
        <v>0</v>
      </c>
      <c r="AJ40" s="22">
        <f>IF(AJ$36&lt;=$C40,AJ15-AI15,
AJ15-AI15+INDEX($Z40:AJ40,1,MATCH(AJ$36-$C40,$Z$36:AJ$36)))</f>
        <v>0</v>
      </c>
      <c r="AK40" s="22">
        <f>IF(AK$36&lt;=$C40,AK15-AJ15,
AK15-AJ15+INDEX($Z40:AK40,1,MATCH(AK$36-$C40,$Z$36:AK$36)))</f>
        <v>0</v>
      </c>
      <c r="AL40" s="22">
        <f>IF(AL$36&lt;=$C40,AL15-AK15,
AL15-AK15+INDEX($Z40:AL40,1,MATCH(AL$36-$C40,$Z$36:AL$36)))</f>
        <v>0</v>
      </c>
      <c r="AM40" s="22">
        <f>IF(AM$36&lt;=$C40,AM15-AL15,
AM15-AL15+INDEX($Z40:AM40,1,MATCH(AM$36-$C40,$Z$36:AM$36)))</f>
        <v>0</v>
      </c>
      <c r="AN40" s="22">
        <f>IF(AN$36&lt;=$C40,AN15-AM15,
AN15-AM15+INDEX($Z40:AN40,1,MATCH(AN$36-$C40,$Z$36:AN$36)))</f>
        <v>0</v>
      </c>
      <c r="AO40" s="22">
        <f>IF(AO$36&lt;=$C40,AO15-AN15,
AO15-AN15+INDEX($Z40:AO40,1,MATCH(AO$36-$C40,$Z$36:AO$36)))</f>
        <v>0</v>
      </c>
      <c r="AP40" s="22">
        <f>IF(AP$36&lt;=$C40,AP15-AO15,
AP15-AO15+INDEX($Z40:AP40,1,MATCH(AP$36-$C40,$Z$36:AP$36)))</f>
        <v>2</v>
      </c>
      <c r="AQ40" s="22">
        <f>IF(AQ$36&lt;=$C40,AQ15-AP15,
AQ15-AP15+INDEX($Z40:AQ40,1,MATCH(AQ$36-$C40,$Z$36:AQ$36)))</f>
        <v>0</v>
      </c>
      <c r="AR40" s="22">
        <f>IF(AR$36&lt;=$C40,AR15-AQ15,
AR15-AQ15+INDEX($Z40:AR40,1,MATCH(AR$36-$C40,$Z$36:AR$36)))</f>
        <v>0</v>
      </c>
      <c r="AS40" s="22">
        <f>IF(AS$36&lt;=$C40,AS15-AR15,
AS15-AR15+INDEX($Z40:AS40,1,MATCH(AS$36-$C40,$Z$36:AS$36)))</f>
        <v>0</v>
      </c>
    </row>
    <row r="41" spans="1:45" x14ac:dyDescent="0.25">
      <c r="A41" s="8" t="str">
        <v>Charging data function software</v>
      </c>
      <c r="C41" s="11">
        <v>8</v>
      </c>
      <c r="D41" s="22">
        <f t="shared" si="0"/>
        <v>2</v>
      </c>
      <c r="E41" s="22">
        <f>IF(E$36&lt;=$C41,MAX(E16-D16,0),
MAX(E16-D16,0)+IF(E16&gt;=INDEX($D39:E39,1,MATCH(E$36-$C41,$D$36:E$36)),INDEX($D41:E41,1,MATCH(E$36-$C41,$D$36:E$36)),E16))</f>
        <v>0</v>
      </c>
      <c r="F41" s="22">
        <f>IF(F$36&lt;=$C41,MAX(F16-E16,0),
MAX(F16-E16,0)+IF(F16&gt;=INDEX($D39:F39,1,MATCH(F$36-$C41,$D$36:F$36)),INDEX($D41:F41,1,MATCH(F$36-$C41,$D$36:F$36)),F16))</f>
        <v>0</v>
      </c>
      <c r="G41" s="22">
        <f>IF(G$36&lt;=$C41,MAX(G16-F16,0),
MAX(G16-F16,0)+IF(G16&gt;=INDEX($D39:G39,1,MATCH(G$36-$C41,$D$36:G$36)),INDEX($D41:G41,1,MATCH(G$36-$C41,$D$36:G$36)),G16))</f>
        <v>0</v>
      </c>
      <c r="H41" s="22">
        <f>IF(H$36&lt;=$C41,MAX(H16-G16,0),
MAX(H16-G16,0)+IF(H16&gt;=INDEX($D39:H39,1,MATCH(H$36-$C41,$D$36:H$36)),INDEX($D41:H41,1,MATCH(H$36-$C41,$D$36:H$36)),H16))</f>
        <v>0</v>
      </c>
      <c r="I41" s="22">
        <f>IF(I$36&lt;=$C41,MAX(I16-H16,0),
MAX(I16-H16,0)+IF(I16&gt;=INDEX($D39:I39,1,MATCH(I$36-$C41,$D$36:I$36)),INDEX($D41:I41,1,MATCH(I$36-$C41,$D$36:I$36)),I16))</f>
        <v>0</v>
      </c>
      <c r="J41" s="22">
        <f>IF(J$36&lt;=$C41,MAX(J16-I16,0),
MAX(J16-I16,0)+IF(J16&gt;=INDEX($D39:J39,1,MATCH(J$36-$C41,$D$36:J$36)),INDEX($D41:J41,1,MATCH(J$36-$C41,$D$36:J$36)),J16))</f>
        <v>0</v>
      </c>
      <c r="K41" s="22">
        <f>IF(K$36&lt;=$C41,MAX(K16-J16,0),
MAX(K16-J16,0)+IF(K16&gt;=INDEX($D39:K39,1,MATCH(K$36-$C41,$D$36:K$36)),INDEX($D41:K41,1,MATCH(K$36-$C41,$D$36:K$36)),K16))</f>
        <v>0</v>
      </c>
      <c r="L41" s="22">
        <f>IF(L$36&lt;=$C41,MAX(L16-K16,0),
MAX(L16-K16,0)+IF(L16&gt;=INDEX($D39:L39,1,MATCH(L$36-$C41,$D$36:L$36)),INDEX($D41:L41,1,MATCH(L$36-$C41,$D$36:L$36)),L16))</f>
        <v>2</v>
      </c>
      <c r="M41" s="22">
        <f>IF(M$36&lt;=$C41,MAX(M16-L16,0),
MAX(M16-L16,0)+IF(M16&gt;=INDEX($D39:M39,1,MATCH(M$36-$C41,$D$36:M$36)),INDEX($D41:M41,1,MATCH(M$36-$C41,$D$36:M$36)),M16))</f>
        <v>0</v>
      </c>
      <c r="N41" s="22">
        <f>IF(N$36&lt;=$C41,MAX(N16-M16,0),
MAX(N16-M16,0)+IF(N16&gt;=INDEX($D39:N39,1,MATCH(N$36-$C41,$D$36:N$36)),INDEX($D41:N41,1,MATCH(N$36-$C41,$D$36:N$36)),N16))</f>
        <v>0</v>
      </c>
      <c r="O41" s="22">
        <f>IF(O$36&lt;=$C41,MAX(O16-N16,0),
MAX(O16-N16,0)+IF(O16&gt;=INDEX($D39:O39,1,MATCH(O$36-$C41,$D$36:O$36)),INDEX($D41:O41,1,MATCH(O$36-$C41,$D$36:O$36)),O16))</f>
        <v>0</v>
      </c>
      <c r="P41" s="22">
        <f>IF(P$36&lt;=$C41,MAX(P16-O16,0),
MAX(P16-O16,0)+IF(P16&gt;=INDEX($D39:P39,1,MATCH(P$36-$C41,$D$36:P$36)),INDEX($D41:P41,1,MATCH(P$36-$C41,$D$36:P$36)),P16))</f>
        <v>0</v>
      </c>
      <c r="Q41" s="22">
        <f>IF(Q$36&lt;=$C41,MAX(Q16-P16,0),
MAX(Q16-P16,0)+IF(Q16&gt;=INDEX($D39:Q39,1,MATCH(Q$36-$C41,$D$36:Q$36)),INDEX($D41:Q41,1,MATCH(Q$36-$C41,$D$36:Q$36)),Q16))</f>
        <v>0</v>
      </c>
      <c r="R41" s="22">
        <f>IF(R$36&lt;=$C41,MAX(R16-Q16,0),
MAX(R16-Q16,0)+IF(R16&gt;=INDEX($D39:R39,1,MATCH(R$36-$C41,$D$36:R$36)),INDEX($D41:R41,1,MATCH(R$36-$C41,$D$36:R$36)),R16))</f>
        <v>0</v>
      </c>
      <c r="S41" s="22">
        <f>IF(S$36&lt;=$C41,MAX(S16-R16,0),
MAX(S16-R16,0)+IF(S16&gt;=INDEX($D39:S39,1,MATCH(S$36-$C41,$D$36:S$36)),INDEX($D41:S41,1,MATCH(S$36-$C41,$D$36:S$36)),S16))</f>
        <v>0</v>
      </c>
      <c r="T41" s="22">
        <f>IF(T$36&lt;=$C41,MAX(T16-S16,0),
MAX(T16-S16,0)+IF(T16&gt;=INDEX($D39:T39,1,MATCH(T$36-$C41,$D$36:T$36)),INDEX($D41:T41,1,MATCH(T$36-$C41,$D$36:T$36)),T16))</f>
        <v>2</v>
      </c>
      <c r="U41" s="22">
        <f>IF(U$36&lt;=$C41,MAX(U16-T16,0),
MAX(U16-T16,0)+IF(U16&gt;=INDEX($D39:U39,1,MATCH(U$36-$C41,$D$36:U$36)),INDEX($D41:U41,1,MATCH(U$36-$C41,$D$36:U$36)),U16))</f>
        <v>0</v>
      </c>
      <c r="V41" s="22">
        <f>IF(V$36&lt;=$C41,MAX(V16-U16,0),
MAX(V16-U16,0)+IF(V16&gt;=INDEX($D39:V39,1,MATCH(V$36-$C41,$D$36:V$36)),INDEX($D41:V41,1,MATCH(V$36-$C41,$D$36:V$36)),V16))</f>
        <v>0</v>
      </c>
      <c r="W41" s="22">
        <f>IF(W$36&lt;=$C41,MAX(W16-V16,0),
MAX(W16-V16,0)+IF(W16&gt;=INDEX($D39:W39,1,MATCH(W$36-$C41,$D$36:W$36)),INDEX($D41:W41,1,MATCH(W$36-$C41,$D$36:W$36)),W16))</f>
        <v>0</v>
      </c>
      <c r="Z41" s="22">
        <f t="shared" si="1"/>
        <v>2</v>
      </c>
      <c r="AA41" s="22">
        <f>IF(AA$36&lt;=$C41,AA16-Z16,
AA16-Z16+INDEX($Z41:AA41,1,MATCH(AA$36-$C41,$Z$36:AA$36)))</f>
        <v>0</v>
      </c>
      <c r="AB41" s="22">
        <f>IF(AB$36&lt;=$C41,AB16-AA16,
AB16-AA16+INDEX($Z41:AB41,1,MATCH(AB$36-$C41,$Z$36:AB$36)))</f>
        <v>0</v>
      </c>
      <c r="AC41" s="22">
        <f>IF(AC$36&lt;=$C41,AC16-AB16,
AC16-AB16+INDEX($Z41:AC41,1,MATCH(AC$36-$C41,$Z$36:AC$36)))</f>
        <v>0</v>
      </c>
      <c r="AD41" s="22">
        <f>IF(AD$36&lt;=$C41,AD16-AC16,
AD16-AC16+INDEX($Z41:AD41,1,MATCH(AD$36-$C41,$Z$36:AD$36)))</f>
        <v>0</v>
      </c>
      <c r="AE41" s="22">
        <f>IF(AE$36&lt;=$C41,AE16-AD16,
AE16-AD16+INDEX($Z41:AE41,1,MATCH(AE$36-$C41,$Z$36:AE$36)))</f>
        <v>0</v>
      </c>
      <c r="AF41" s="22">
        <f>IF(AF$36&lt;=$C41,AF16-AE16,
AF16-AE16+INDEX($Z41:AF41,1,MATCH(AF$36-$C41,$Z$36:AF$36)))</f>
        <v>0</v>
      </c>
      <c r="AG41" s="22">
        <f>IF(AG$36&lt;=$C41,AG16-AF16,
AG16-AF16+INDEX($Z41:AG41,1,MATCH(AG$36-$C41,$Z$36:AG$36)))</f>
        <v>0</v>
      </c>
      <c r="AH41" s="22">
        <f>IF(AH$36&lt;=$C41,AH16-AG16,
AH16-AG16+INDEX($Z41:AH41,1,MATCH(AH$36-$C41,$Z$36:AH$36)))</f>
        <v>2</v>
      </c>
      <c r="AI41" s="22">
        <f>IF(AI$36&lt;=$C41,AI16-AH16,
AI16-AH16+INDEX($Z41:AI41,1,MATCH(AI$36-$C41,$Z$36:AI$36)))</f>
        <v>0</v>
      </c>
      <c r="AJ41" s="22">
        <f>IF(AJ$36&lt;=$C41,AJ16-AI16,
AJ16-AI16+INDEX($Z41:AJ41,1,MATCH(AJ$36-$C41,$Z$36:AJ$36)))</f>
        <v>0</v>
      </c>
      <c r="AK41" s="22">
        <f>IF(AK$36&lt;=$C41,AK16-AJ16,
AK16-AJ16+INDEX($Z41:AK41,1,MATCH(AK$36-$C41,$Z$36:AK$36)))</f>
        <v>0</v>
      </c>
      <c r="AL41" s="22">
        <f>IF(AL$36&lt;=$C41,AL16-AK16,
AL16-AK16+INDEX($Z41:AL41,1,MATCH(AL$36-$C41,$Z$36:AL$36)))</f>
        <v>0</v>
      </c>
      <c r="AM41" s="22">
        <f>IF(AM$36&lt;=$C41,AM16-AL16,
AM16-AL16+INDEX($Z41:AM41,1,MATCH(AM$36-$C41,$Z$36:AM$36)))</f>
        <v>0</v>
      </c>
      <c r="AN41" s="22">
        <f>IF(AN$36&lt;=$C41,AN16-AM16,
AN16-AM16+INDEX($Z41:AN41,1,MATCH(AN$36-$C41,$Z$36:AN$36)))</f>
        <v>0</v>
      </c>
      <c r="AO41" s="22">
        <f>IF(AO$36&lt;=$C41,AO16-AN16,
AO16-AN16+INDEX($Z41:AO41,1,MATCH(AO$36-$C41,$Z$36:AO$36)))</f>
        <v>0</v>
      </c>
      <c r="AP41" s="22">
        <f>IF(AP$36&lt;=$C41,AP16-AO16,
AP16-AO16+INDEX($Z41:AP41,1,MATCH(AP$36-$C41,$Z$36:AP$36)))</f>
        <v>2</v>
      </c>
      <c r="AQ41" s="22">
        <f>IF(AQ$36&lt;=$C41,AQ16-AP16,
AQ16-AP16+INDEX($Z41:AQ41,1,MATCH(AQ$36-$C41,$Z$36:AQ$36)))</f>
        <v>0</v>
      </c>
      <c r="AR41" s="22">
        <f>IF(AR$36&lt;=$C41,AR16-AQ16,
AR16-AQ16+INDEX($Z41:AR41,1,MATCH(AR$36-$C41,$Z$36:AR$36)))</f>
        <v>0</v>
      </c>
      <c r="AS41" s="22">
        <f>IF(AS$36&lt;=$C41,AS16-AR16,
AS16-AR16+INDEX($Z41:AS41,1,MATCH(AS$36-$C41,$Z$36:AS$36)))</f>
        <v>0</v>
      </c>
    </row>
    <row r="42" spans="1:45" x14ac:dyDescent="0.25">
      <c r="A42" s="8" t="str">
        <v>Proxy - Call session control function hardware</v>
      </c>
      <c r="C42" s="11">
        <v>8</v>
      </c>
      <c r="D42" s="22">
        <f t="shared" si="0"/>
        <v>2</v>
      </c>
      <c r="E42" s="22">
        <f>IF(E$36&lt;=$C42,MAX(E17-D17,0),
MAX(E17-D17,0)+IF(E17&gt;=INDEX($D40:E40,1,MATCH(E$36-$C42,$D$36:E$36)),INDEX($D42:E42,1,MATCH(E$36-$C42,$D$36:E$36)),E17))</f>
        <v>0</v>
      </c>
      <c r="F42" s="22">
        <f>IF(F$36&lt;=$C42,MAX(F17-E17,0),
MAX(F17-E17,0)+IF(F17&gt;=INDEX($D40:F40,1,MATCH(F$36-$C42,$D$36:F$36)),INDEX($D42:F42,1,MATCH(F$36-$C42,$D$36:F$36)),F17))</f>
        <v>0</v>
      </c>
      <c r="G42" s="22">
        <f>IF(G$36&lt;=$C42,MAX(G17-F17,0),
MAX(G17-F17,0)+IF(G17&gt;=INDEX($D40:G40,1,MATCH(G$36-$C42,$D$36:G$36)),INDEX($D42:G42,1,MATCH(G$36-$C42,$D$36:G$36)),G17))</f>
        <v>0</v>
      </c>
      <c r="H42" s="22">
        <f>IF(H$36&lt;=$C42,MAX(H17-G17,0),
MAX(H17-G17,0)+IF(H17&gt;=INDEX($D40:H40,1,MATCH(H$36-$C42,$D$36:H$36)),INDEX($D42:H42,1,MATCH(H$36-$C42,$D$36:H$36)),H17))</f>
        <v>0</v>
      </c>
      <c r="I42" s="22">
        <f>IF(I$36&lt;=$C42,MAX(I17-H17,0),
MAX(I17-H17,0)+IF(I17&gt;=INDEX($D40:I40,1,MATCH(I$36-$C42,$D$36:I$36)),INDEX($D42:I42,1,MATCH(I$36-$C42,$D$36:I$36)),I17))</f>
        <v>0</v>
      </c>
      <c r="J42" s="22">
        <f>IF(J$36&lt;=$C42,MAX(J17-I17,0),
MAX(J17-I17,0)+IF(J17&gt;=INDEX($D40:J40,1,MATCH(J$36-$C42,$D$36:J$36)),INDEX($D42:J42,1,MATCH(J$36-$C42,$D$36:J$36)),J17))</f>
        <v>0</v>
      </c>
      <c r="K42" s="22">
        <f>IF(K$36&lt;=$C42,MAX(K17-J17,0),
MAX(K17-J17,0)+IF(K17&gt;=INDEX($D40:K40,1,MATCH(K$36-$C42,$D$36:K$36)),INDEX($D42:K42,1,MATCH(K$36-$C42,$D$36:K$36)),K17))</f>
        <v>0</v>
      </c>
      <c r="L42" s="22">
        <f>IF(L$36&lt;=$C42,MAX(L17-K17,0),
MAX(L17-K17,0)+IF(L17&gt;=INDEX($D40:L40,1,MATCH(L$36-$C42,$D$36:L$36)),INDEX($D42:L42,1,MATCH(L$36-$C42,$D$36:L$36)),L17))</f>
        <v>2</v>
      </c>
      <c r="M42" s="22">
        <f>IF(M$36&lt;=$C42,MAX(M17-L17,0),
MAX(M17-L17,0)+IF(M17&gt;=INDEX($D40:M40,1,MATCH(M$36-$C42,$D$36:M$36)),INDEX($D42:M42,1,MATCH(M$36-$C42,$D$36:M$36)),M17))</f>
        <v>0</v>
      </c>
      <c r="N42" s="22">
        <f>IF(N$36&lt;=$C42,MAX(N17-M17,0),
MAX(N17-M17,0)+IF(N17&gt;=INDEX($D40:N40,1,MATCH(N$36-$C42,$D$36:N$36)),INDEX($D42:N42,1,MATCH(N$36-$C42,$D$36:N$36)),N17))</f>
        <v>0</v>
      </c>
      <c r="O42" s="22">
        <f>IF(O$36&lt;=$C42,MAX(O17-N17,0),
MAX(O17-N17,0)+IF(O17&gt;=INDEX($D40:O40,1,MATCH(O$36-$C42,$D$36:O$36)),INDEX($D42:O42,1,MATCH(O$36-$C42,$D$36:O$36)),O17))</f>
        <v>0</v>
      </c>
      <c r="P42" s="22">
        <f>IF(P$36&lt;=$C42,MAX(P17-O17,0),
MAX(P17-O17,0)+IF(P17&gt;=INDEX($D40:P40,1,MATCH(P$36-$C42,$D$36:P$36)),INDEX($D42:P42,1,MATCH(P$36-$C42,$D$36:P$36)),P17))</f>
        <v>0</v>
      </c>
      <c r="Q42" s="22">
        <f>IF(Q$36&lt;=$C42,MAX(Q17-P17,0),
MAX(Q17-P17,0)+IF(Q17&gt;=INDEX($D40:Q40,1,MATCH(Q$36-$C42,$D$36:Q$36)),INDEX($D42:Q42,1,MATCH(Q$36-$C42,$D$36:Q$36)),Q17))</f>
        <v>0</v>
      </c>
      <c r="R42" s="22">
        <f>IF(R$36&lt;=$C42,MAX(R17-Q17,0),
MAX(R17-Q17,0)+IF(R17&gt;=INDEX($D40:R40,1,MATCH(R$36-$C42,$D$36:R$36)),INDEX($D42:R42,1,MATCH(R$36-$C42,$D$36:R$36)),R17))</f>
        <v>0</v>
      </c>
      <c r="S42" s="22">
        <f>IF(S$36&lt;=$C42,MAX(S17-R17,0),
MAX(S17-R17,0)+IF(S17&gt;=INDEX($D40:S40,1,MATCH(S$36-$C42,$D$36:S$36)),INDEX($D42:S42,1,MATCH(S$36-$C42,$D$36:S$36)),S17))</f>
        <v>0</v>
      </c>
      <c r="T42" s="22">
        <f>IF(T$36&lt;=$C42,MAX(T17-S17,0),
MAX(T17-S17,0)+IF(T17&gt;=INDEX($D40:T40,1,MATCH(T$36-$C42,$D$36:T$36)),INDEX($D42:T42,1,MATCH(T$36-$C42,$D$36:T$36)),T17))</f>
        <v>2</v>
      </c>
      <c r="U42" s="22">
        <f>IF(U$36&lt;=$C42,MAX(U17-T17,0),
MAX(U17-T17,0)+IF(U17&gt;=INDEX($D40:U40,1,MATCH(U$36-$C42,$D$36:U$36)),INDEX($D42:U42,1,MATCH(U$36-$C42,$D$36:U$36)),U17))</f>
        <v>0</v>
      </c>
      <c r="V42" s="22">
        <f>IF(V$36&lt;=$C42,MAX(V17-U17,0),
MAX(V17-U17,0)+IF(V17&gt;=INDEX($D40:V40,1,MATCH(V$36-$C42,$D$36:V$36)),INDEX($D42:V42,1,MATCH(V$36-$C42,$D$36:V$36)),V17))</f>
        <v>0</v>
      </c>
      <c r="W42" s="22">
        <f>IF(W$36&lt;=$C42,MAX(W17-V17,0),
MAX(W17-V17,0)+IF(W17&gt;=INDEX($D40:W40,1,MATCH(W$36-$C42,$D$36:W$36)),INDEX($D42:W42,1,MATCH(W$36-$C42,$D$36:W$36)),W17))</f>
        <v>0</v>
      </c>
      <c r="Z42" s="22">
        <f t="shared" si="1"/>
        <v>2</v>
      </c>
      <c r="AA42" s="22">
        <f>IF(AA$36&lt;=$C42,AA17-Z17,
AA17-Z17+INDEX($Z42:AA42,1,MATCH(AA$36-$C42,$Z$36:AA$36)))</f>
        <v>0</v>
      </c>
      <c r="AB42" s="22">
        <f>IF(AB$36&lt;=$C42,AB17-AA17,
AB17-AA17+INDEX($Z42:AB42,1,MATCH(AB$36-$C42,$Z$36:AB$36)))</f>
        <v>0</v>
      </c>
      <c r="AC42" s="22">
        <f>IF(AC$36&lt;=$C42,AC17-AB17,
AC17-AB17+INDEX($Z42:AC42,1,MATCH(AC$36-$C42,$Z$36:AC$36)))</f>
        <v>0</v>
      </c>
      <c r="AD42" s="22">
        <f>IF(AD$36&lt;=$C42,AD17-AC17,
AD17-AC17+INDEX($Z42:AD42,1,MATCH(AD$36-$C42,$Z$36:AD$36)))</f>
        <v>0</v>
      </c>
      <c r="AE42" s="22">
        <f>IF(AE$36&lt;=$C42,AE17-AD17,
AE17-AD17+INDEX($Z42:AE42,1,MATCH(AE$36-$C42,$Z$36:AE$36)))</f>
        <v>0</v>
      </c>
      <c r="AF42" s="22">
        <f>IF(AF$36&lt;=$C42,AF17-AE17,
AF17-AE17+INDEX($Z42:AF42,1,MATCH(AF$36-$C42,$Z$36:AF$36)))</f>
        <v>0</v>
      </c>
      <c r="AG42" s="22">
        <f>IF(AG$36&lt;=$C42,AG17-AF17,
AG17-AF17+INDEX($Z42:AG42,1,MATCH(AG$36-$C42,$Z$36:AG$36)))</f>
        <v>0</v>
      </c>
      <c r="AH42" s="22">
        <f>IF(AH$36&lt;=$C42,AH17-AG17,
AH17-AG17+INDEX($Z42:AH42,1,MATCH(AH$36-$C42,$Z$36:AH$36)))</f>
        <v>2</v>
      </c>
      <c r="AI42" s="22">
        <f>IF(AI$36&lt;=$C42,AI17-AH17,
AI17-AH17+INDEX($Z42:AI42,1,MATCH(AI$36-$C42,$Z$36:AI$36)))</f>
        <v>0</v>
      </c>
      <c r="AJ42" s="22">
        <f>IF(AJ$36&lt;=$C42,AJ17-AI17,
AJ17-AI17+INDEX($Z42:AJ42,1,MATCH(AJ$36-$C42,$Z$36:AJ$36)))</f>
        <v>0</v>
      </c>
      <c r="AK42" s="22">
        <f>IF(AK$36&lt;=$C42,AK17-AJ17,
AK17-AJ17+INDEX($Z42:AK42,1,MATCH(AK$36-$C42,$Z$36:AK$36)))</f>
        <v>0</v>
      </c>
      <c r="AL42" s="22">
        <f>IF(AL$36&lt;=$C42,AL17-AK17,
AL17-AK17+INDEX($Z42:AL42,1,MATCH(AL$36-$C42,$Z$36:AL$36)))</f>
        <v>0</v>
      </c>
      <c r="AM42" s="22">
        <f>IF(AM$36&lt;=$C42,AM17-AL17,
AM17-AL17+INDEX($Z42:AM42,1,MATCH(AM$36-$C42,$Z$36:AM$36)))</f>
        <v>0</v>
      </c>
      <c r="AN42" s="22">
        <f>IF(AN$36&lt;=$C42,AN17-AM17,
AN17-AM17+INDEX($Z42:AN42,1,MATCH(AN$36-$C42,$Z$36:AN$36)))</f>
        <v>0</v>
      </c>
      <c r="AO42" s="22">
        <f>IF(AO$36&lt;=$C42,AO17-AN17,
AO17-AN17+INDEX($Z42:AO42,1,MATCH(AO$36-$C42,$Z$36:AO$36)))</f>
        <v>0</v>
      </c>
      <c r="AP42" s="22">
        <f>IF(AP$36&lt;=$C42,AP17-AO17,
AP17-AO17+INDEX($Z42:AP42,1,MATCH(AP$36-$C42,$Z$36:AP$36)))</f>
        <v>2</v>
      </c>
      <c r="AQ42" s="22">
        <f>IF(AQ$36&lt;=$C42,AQ17-AP17,
AQ17-AP17+INDEX($Z42:AQ42,1,MATCH(AQ$36-$C42,$Z$36:AQ$36)))</f>
        <v>0</v>
      </c>
      <c r="AR42" s="22">
        <f>IF(AR$36&lt;=$C42,AR17-AQ17,
AR17-AQ17+INDEX($Z42:AR42,1,MATCH(AR$36-$C42,$Z$36:AR$36)))</f>
        <v>0</v>
      </c>
      <c r="AS42" s="22">
        <f>IF(AS$36&lt;=$C42,AS17-AR17,
AS17-AR17+INDEX($Z42:AS42,1,MATCH(AS$36-$C42,$Z$36:AS$36)))</f>
        <v>0</v>
      </c>
    </row>
    <row r="43" spans="1:45" x14ac:dyDescent="0.25">
      <c r="A43" s="8" t="str">
        <v>Proxy - Call session control function software</v>
      </c>
      <c r="C43" s="11">
        <v>8</v>
      </c>
      <c r="D43" s="22">
        <f t="shared" si="0"/>
        <v>2</v>
      </c>
      <c r="E43" s="22">
        <f>IF(E$36&lt;=$C43,MAX(E18-D18,0),
MAX(E18-D18,0)+IF(E18&gt;=INDEX($D41:E41,1,MATCH(E$36-$C43,$D$36:E$36)),INDEX($D43:E43,1,MATCH(E$36-$C43,$D$36:E$36)),E18))</f>
        <v>0</v>
      </c>
      <c r="F43" s="22">
        <f>IF(F$36&lt;=$C43,MAX(F18-E18,0),
MAX(F18-E18,0)+IF(F18&gt;=INDEX($D41:F41,1,MATCH(F$36-$C43,$D$36:F$36)),INDEX($D43:F43,1,MATCH(F$36-$C43,$D$36:F$36)),F18))</f>
        <v>0</v>
      </c>
      <c r="G43" s="22">
        <f>IF(G$36&lt;=$C43,MAX(G18-F18,0),
MAX(G18-F18,0)+IF(G18&gt;=INDEX($D41:G41,1,MATCH(G$36-$C43,$D$36:G$36)),INDEX($D43:G43,1,MATCH(G$36-$C43,$D$36:G$36)),G18))</f>
        <v>0</v>
      </c>
      <c r="H43" s="22">
        <f>IF(H$36&lt;=$C43,MAX(H18-G18,0),
MAX(H18-G18,0)+IF(H18&gt;=INDEX($D41:H41,1,MATCH(H$36-$C43,$D$36:H$36)),INDEX($D43:H43,1,MATCH(H$36-$C43,$D$36:H$36)),H18))</f>
        <v>0</v>
      </c>
      <c r="I43" s="22">
        <f>IF(I$36&lt;=$C43,MAX(I18-H18,0),
MAX(I18-H18,0)+IF(I18&gt;=INDEX($D41:I41,1,MATCH(I$36-$C43,$D$36:I$36)),INDEX($D43:I43,1,MATCH(I$36-$C43,$D$36:I$36)),I18))</f>
        <v>0</v>
      </c>
      <c r="J43" s="22">
        <f>IF(J$36&lt;=$C43,MAX(J18-I18,0),
MAX(J18-I18,0)+IF(J18&gt;=INDEX($D41:J41,1,MATCH(J$36-$C43,$D$36:J$36)),INDEX($D43:J43,1,MATCH(J$36-$C43,$D$36:J$36)),J18))</f>
        <v>0</v>
      </c>
      <c r="K43" s="22">
        <f>IF(K$36&lt;=$C43,MAX(K18-J18,0),
MAX(K18-J18,0)+IF(K18&gt;=INDEX($D41:K41,1,MATCH(K$36-$C43,$D$36:K$36)),INDEX($D43:K43,1,MATCH(K$36-$C43,$D$36:K$36)),K18))</f>
        <v>0</v>
      </c>
      <c r="L43" s="22">
        <f>IF(L$36&lt;=$C43,MAX(L18-K18,0),
MAX(L18-K18,0)+IF(L18&gt;=INDEX($D41:L41,1,MATCH(L$36-$C43,$D$36:L$36)),INDEX($D43:L43,1,MATCH(L$36-$C43,$D$36:L$36)),L18))</f>
        <v>2</v>
      </c>
      <c r="M43" s="22">
        <f>IF(M$36&lt;=$C43,MAX(M18-L18,0),
MAX(M18-L18,0)+IF(M18&gt;=INDEX($D41:M41,1,MATCH(M$36-$C43,$D$36:M$36)),INDEX($D43:M43,1,MATCH(M$36-$C43,$D$36:M$36)),M18))</f>
        <v>0</v>
      </c>
      <c r="N43" s="22">
        <f>IF(N$36&lt;=$C43,MAX(N18-M18,0),
MAX(N18-M18,0)+IF(N18&gt;=INDEX($D41:N41,1,MATCH(N$36-$C43,$D$36:N$36)),INDEX($D43:N43,1,MATCH(N$36-$C43,$D$36:N$36)),N18))</f>
        <v>0</v>
      </c>
      <c r="O43" s="22">
        <f>IF(O$36&lt;=$C43,MAX(O18-N18,0),
MAX(O18-N18,0)+IF(O18&gt;=INDEX($D41:O41,1,MATCH(O$36-$C43,$D$36:O$36)),INDEX($D43:O43,1,MATCH(O$36-$C43,$D$36:O$36)),O18))</f>
        <v>0</v>
      </c>
      <c r="P43" s="22">
        <f>IF(P$36&lt;=$C43,MAX(P18-O18,0),
MAX(P18-O18,0)+IF(P18&gt;=INDEX($D41:P41,1,MATCH(P$36-$C43,$D$36:P$36)),INDEX($D43:P43,1,MATCH(P$36-$C43,$D$36:P$36)),P18))</f>
        <v>0</v>
      </c>
      <c r="Q43" s="22">
        <f>IF(Q$36&lt;=$C43,MAX(Q18-P18,0),
MAX(Q18-P18,0)+IF(Q18&gt;=INDEX($D41:Q41,1,MATCH(Q$36-$C43,$D$36:Q$36)),INDEX($D43:Q43,1,MATCH(Q$36-$C43,$D$36:Q$36)),Q18))</f>
        <v>0</v>
      </c>
      <c r="R43" s="22">
        <f>IF(R$36&lt;=$C43,MAX(R18-Q18,0),
MAX(R18-Q18,0)+IF(R18&gt;=INDEX($D41:R41,1,MATCH(R$36-$C43,$D$36:R$36)),INDEX($D43:R43,1,MATCH(R$36-$C43,$D$36:R$36)),R18))</f>
        <v>0</v>
      </c>
      <c r="S43" s="22">
        <f>IF(S$36&lt;=$C43,MAX(S18-R18,0),
MAX(S18-R18,0)+IF(S18&gt;=INDEX($D41:S41,1,MATCH(S$36-$C43,$D$36:S$36)),INDEX($D43:S43,1,MATCH(S$36-$C43,$D$36:S$36)),S18))</f>
        <v>0</v>
      </c>
      <c r="T43" s="22">
        <f>IF(T$36&lt;=$C43,MAX(T18-S18,0),
MAX(T18-S18,0)+IF(T18&gt;=INDEX($D41:T41,1,MATCH(T$36-$C43,$D$36:T$36)),INDEX($D43:T43,1,MATCH(T$36-$C43,$D$36:T$36)),T18))</f>
        <v>2</v>
      </c>
      <c r="U43" s="22">
        <f>IF(U$36&lt;=$C43,MAX(U18-T18,0),
MAX(U18-T18,0)+IF(U18&gt;=INDEX($D41:U41,1,MATCH(U$36-$C43,$D$36:U$36)),INDEX($D43:U43,1,MATCH(U$36-$C43,$D$36:U$36)),U18))</f>
        <v>0</v>
      </c>
      <c r="V43" s="22">
        <f>IF(V$36&lt;=$C43,MAX(V18-U18,0),
MAX(V18-U18,0)+IF(V18&gt;=INDEX($D41:V41,1,MATCH(V$36-$C43,$D$36:V$36)),INDEX($D43:V43,1,MATCH(V$36-$C43,$D$36:V$36)),V18))</f>
        <v>0</v>
      </c>
      <c r="W43" s="22">
        <f>IF(W$36&lt;=$C43,MAX(W18-V18,0),
MAX(W18-V18,0)+IF(W18&gt;=INDEX($D41:W41,1,MATCH(W$36-$C43,$D$36:W$36)),INDEX($D43:W43,1,MATCH(W$36-$C43,$D$36:W$36)),W18))</f>
        <v>0</v>
      </c>
      <c r="Z43" s="22">
        <f t="shared" si="1"/>
        <v>2</v>
      </c>
      <c r="AA43" s="22">
        <f>IF(AA$36&lt;=$C43,AA18-Z18,
AA18-Z18+INDEX($Z43:AA43,1,MATCH(AA$36-$C43,$Z$36:AA$36)))</f>
        <v>0</v>
      </c>
      <c r="AB43" s="22">
        <f>IF(AB$36&lt;=$C43,AB18-AA18,
AB18-AA18+INDEX($Z43:AB43,1,MATCH(AB$36-$C43,$Z$36:AB$36)))</f>
        <v>0</v>
      </c>
      <c r="AC43" s="22">
        <f>IF(AC$36&lt;=$C43,AC18-AB18,
AC18-AB18+INDEX($Z43:AC43,1,MATCH(AC$36-$C43,$Z$36:AC$36)))</f>
        <v>0</v>
      </c>
      <c r="AD43" s="22">
        <f>IF(AD$36&lt;=$C43,AD18-AC18,
AD18-AC18+INDEX($Z43:AD43,1,MATCH(AD$36-$C43,$Z$36:AD$36)))</f>
        <v>0</v>
      </c>
      <c r="AE43" s="22">
        <f>IF(AE$36&lt;=$C43,AE18-AD18,
AE18-AD18+INDEX($Z43:AE43,1,MATCH(AE$36-$C43,$Z$36:AE$36)))</f>
        <v>0</v>
      </c>
      <c r="AF43" s="22">
        <f>IF(AF$36&lt;=$C43,AF18-AE18,
AF18-AE18+INDEX($Z43:AF43,1,MATCH(AF$36-$C43,$Z$36:AF$36)))</f>
        <v>0</v>
      </c>
      <c r="AG43" s="22">
        <f>IF(AG$36&lt;=$C43,AG18-AF18,
AG18-AF18+INDEX($Z43:AG43,1,MATCH(AG$36-$C43,$Z$36:AG$36)))</f>
        <v>0</v>
      </c>
      <c r="AH43" s="22">
        <f>IF(AH$36&lt;=$C43,AH18-AG18,
AH18-AG18+INDEX($Z43:AH43,1,MATCH(AH$36-$C43,$Z$36:AH$36)))</f>
        <v>2</v>
      </c>
      <c r="AI43" s="22">
        <f>IF(AI$36&lt;=$C43,AI18-AH18,
AI18-AH18+INDEX($Z43:AI43,1,MATCH(AI$36-$C43,$Z$36:AI$36)))</f>
        <v>0</v>
      </c>
      <c r="AJ43" s="22">
        <f>IF(AJ$36&lt;=$C43,AJ18-AI18,
AJ18-AI18+INDEX($Z43:AJ43,1,MATCH(AJ$36-$C43,$Z$36:AJ$36)))</f>
        <v>0</v>
      </c>
      <c r="AK43" s="22">
        <f>IF(AK$36&lt;=$C43,AK18-AJ18,
AK18-AJ18+INDEX($Z43:AK43,1,MATCH(AK$36-$C43,$Z$36:AK$36)))</f>
        <v>0</v>
      </c>
      <c r="AL43" s="22">
        <f>IF(AL$36&lt;=$C43,AL18-AK18,
AL18-AK18+INDEX($Z43:AL43,1,MATCH(AL$36-$C43,$Z$36:AL$36)))</f>
        <v>0</v>
      </c>
      <c r="AM43" s="22">
        <f>IF(AM$36&lt;=$C43,AM18-AL18,
AM18-AL18+INDEX($Z43:AM43,1,MATCH(AM$36-$C43,$Z$36:AM$36)))</f>
        <v>0</v>
      </c>
      <c r="AN43" s="22">
        <f>IF(AN$36&lt;=$C43,AN18-AM18,
AN18-AM18+INDEX($Z43:AN43,1,MATCH(AN$36-$C43,$Z$36:AN$36)))</f>
        <v>0</v>
      </c>
      <c r="AO43" s="22">
        <f>IF(AO$36&lt;=$C43,AO18-AN18,
AO18-AN18+INDEX($Z43:AO43,1,MATCH(AO$36-$C43,$Z$36:AO$36)))</f>
        <v>0</v>
      </c>
      <c r="AP43" s="22">
        <f>IF(AP$36&lt;=$C43,AP18-AO18,
AP18-AO18+INDEX($Z43:AP43,1,MATCH(AP$36-$C43,$Z$36:AP$36)))</f>
        <v>2</v>
      </c>
      <c r="AQ43" s="22">
        <f>IF(AQ$36&lt;=$C43,AQ18-AP18,
AQ18-AP18+INDEX($Z43:AQ43,1,MATCH(AQ$36-$C43,$Z$36:AQ$36)))</f>
        <v>0</v>
      </c>
      <c r="AR43" s="22">
        <f>IF(AR$36&lt;=$C43,AR18-AQ18,
AR18-AQ18+INDEX($Z43:AR43,1,MATCH(AR$36-$C43,$Z$36:AR$36)))</f>
        <v>0</v>
      </c>
      <c r="AS43" s="22">
        <f>IF(AS$36&lt;=$C43,AS18-AR18,
AS18-AR18+INDEX($Z43:AS43,1,MATCH(AS$36-$C43,$Z$36:AS$36)))</f>
        <v>0</v>
      </c>
    </row>
    <row r="44" spans="1:45" x14ac:dyDescent="0.25">
      <c r="A44" s="8" t="str">
        <v>Interrogating - Call session control function hardware</v>
      </c>
      <c r="C44" s="11">
        <v>8</v>
      </c>
      <c r="D44" s="22">
        <f t="shared" si="0"/>
        <v>2</v>
      </c>
      <c r="E44" s="22">
        <f>IF(E$36&lt;=$C44,MAX(E19-D19,0),
MAX(E19-D19,0)+IF(E19&gt;=INDEX($D42:E42,1,MATCH(E$36-$C44,$D$36:E$36)),INDEX($D44:E44,1,MATCH(E$36-$C44,$D$36:E$36)),E19))</f>
        <v>0</v>
      </c>
      <c r="F44" s="22">
        <f>IF(F$36&lt;=$C44,MAX(F19-E19,0),
MAX(F19-E19,0)+IF(F19&gt;=INDEX($D42:F42,1,MATCH(F$36-$C44,$D$36:F$36)),INDEX($D44:F44,1,MATCH(F$36-$C44,$D$36:F$36)),F19))</f>
        <v>0</v>
      </c>
      <c r="G44" s="22">
        <f>IF(G$36&lt;=$C44,MAX(G19-F19,0),
MAX(G19-F19,0)+IF(G19&gt;=INDEX($D42:G42,1,MATCH(G$36-$C44,$D$36:G$36)),INDEX($D44:G44,1,MATCH(G$36-$C44,$D$36:G$36)),G19))</f>
        <v>0</v>
      </c>
      <c r="H44" s="22">
        <f>IF(H$36&lt;=$C44,MAX(H19-G19,0),
MAX(H19-G19,0)+IF(H19&gt;=INDEX($D42:H42,1,MATCH(H$36-$C44,$D$36:H$36)),INDEX($D44:H44,1,MATCH(H$36-$C44,$D$36:H$36)),H19))</f>
        <v>0</v>
      </c>
      <c r="I44" s="22">
        <f>IF(I$36&lt;=$C44,MAX(I19-H19,0),
MAX(I19-H19,0)+IF(I19&gt;=INDEX($D42:I42,1,MATCH(I$36-$C44,$D$36:I$36)),INDEX($D44:I44,1,MATCH(I$36-$C44,$D$36:I$36)),I19))</f>
        <v>0</v>
      </c>
      <c r="J44" s="22">
        <f>IF(J$36&lt;=$C44,MAX(J19-I19,0),
MAX(J19-I19,0)+IF(J19&gt;=INDEX($D42:J42,1,MATCH(J$36-$C44,$D$36:J$36)),INDEX($D44:J44,1,MATCH(J$36-$C44,$D$36:J$36)),J19))</f>
        <v>0</v>
      </c>
      <c r="K44" s="22">
        <f>IF(K$36&lt;=$C44,MAX(K19-J19,0),
MAX(K19-J19,0)+IF(K19&gt;=INDEX($D42:K42,1,MATCH(K$36-$C44,$D$36:K$36)),INDEX($D44:K44,1,MATCH(K$36-$C44,$D$36:K$36)),K19))</f>
        <v>0</v>
      </c>
      <c r="L44" s="22">
        <f>IF(L$36&lt;=$C44,MAX(L19-K19,0),
MAX(L19-K19,0)+IF(L19&gt;=INDEX($D42:L42,1,MATCH(L$36-$C44,$D$36:L$36)),INDEX($D44:L44,1,MATCH(L$36-$C44,$D$36:L$36)),L19))</f>
        <v>2</v>
      </c>
      <c r="M44" s="22">
        <f>IF(M$36&lt;=$C44,MAX(M19-L19,0),
MAX(M19-L19,0)+IF(M19&gt;=INDEX($D42:M42,1,MATCH(M$36-$C44,$D$36:M$36)),INDEX($D44:M44,1,MATCH(M$36-$C44,$D$36:M$36)),M19))</f>
        <v>0</v>
      </c>
      <c r="N44" s="22">
        <f>IF(N$36&lt;=$C44,MAX(N19-M19,0),
MAX(N19-M19,0)+IF(N19&gt;=INDEX($D42:N42,1,MATCH(N$36-$C44,$D$36:N$36)),INDEX($D44:N44,1,MATCH(N$36-$C44,$D$36:N$36)),N19))</f>
        <v>0</v>
      </c>
      <c r="O44" s="22">
        <f>IF(O$36&lt;=$C44,MAX(O19-N19,0),
MAX(O19-N19,0)+IF(O19&gt;=INDEX($D42:O42,1,MATCH(O$36-$C44,$D$36:O$36)),INDEX($D44:O44,1,MATCH(O$36-$C44,$D$36:O$36)),O19))</f>
        <v>0</v>
      </c>
      <c r="P44" s="22">
        <f>IF(P$36&lt;=$C44,MAX(P19-O19,0),
MAX(P19-O19,0)+IF(P19&gt;=INDEX($D42:P42,1,MATCH(P$36-$C44,$D$36:P$36)),INDEX($D44:P44,1,MATCH(P$36-$C44,$D$36:P$36)),P19))</f>
        <v>0</v>
      </c>
      <c r="Q44" s="22">
        <f>IF(Q$36&lt;=$C44,MAX(Q19-P19,0),
MAX(Q19-P19,0)+IF(Q19&gt;=INDEX($D42:Q42,1,MATCH(Q$36-$C44,$D$36:Q$36)),INDEX($D44:Q44,1,MATCH(Q$36-$C44,$D$36:Q$36)),Q19))</f>
        <v>0</v>
      </c>
      <c r="R44" s="22">
        <f>IF(R$36&lt;=$C44,MAX(R19-Q19,0),
MAX(R19-Q19,0)+IF(R19&gt;=INDEX($D42:R42,1,MATCH(R$36-$C44,$D$36:R$36)),INDEX($D44:R44,1,MATCH(R$36-$C44,$D$36:R$36)),R19))</f>
        <v>0</v>
      </c>
      <c r="S44" s="22">
        <f>IF(S$36&lt;=$C44,MAX(S19-R19,0),
MAX(S19-R19,0)+IF(S19&gt;=INDEX($D42:S42,1,MATCH(S$36-$C44,$D$36:S$36)),INDEX($D44:S44,1,MATCH(S$36-$C44,$D$36:S$36)),S19))</f>
        <v>0</v>
      </c>
      <c r="T44" s="22">
        <f>IF(T$36&lt;=$C44,MAX(T19-S19,0),
MAX(T19-S19,0)+IF(T19&gt;=INDEX($D42:T42,1,MATCH(T$36-$C44,$D$36:T$36)),INDEX($D44:T44,1,MATCH(T$36-$C44,$D$36:T$36)),T19))</f>
        <v>2</v>
      </c>
      <c r="U44" s="22">
        <f>IF(U$36&lt;=$C44,MAX(U19-T19,0),
MAX(U19-T19,0)+IF(U19&gt;=INDEX($D42:U42,1,MATCH(U$36-$C44,$D$36:U$36)),INDEX($D44:U44,1,MATCH(U$36-$C44,$D$36:U$36)),U19))</f>
        <v>0</v>
      </c>
      <c r="V44" s="22">
        <f>IF(V$36&lt;=$C44,MAX(V19-U19,0),
MAX(V19-U19,0)+IF(V19&gt;=INDEX($D42:V42,1,MATCH(V$36-$C44,$D$36:V$36)),INDEX($D44:V44,1,MATCH(V$36-$C44,$D$36:V$36)),V19))</f>
        <v>0</v>
      </c>
      <c r="W44" s="22">
        <f>IF(W$36&lt;=$C44,MAX(W19-V19,0),
MAX(W19-V19,0)+IF(W19&gt;=INDEX($D42:W42,1,MATCH(W$36-$C44,$D$36:W$36)),INDEX($D44:W44,1,MATCH(W$36-$C44,$D$36:W$36)),W19))</f>
        <v>0</v>
      </c>
      <c r="Z44" s="22">
        <f t="shared" si="1"/>
        <v>2</v>
      </c>
      <c r="AA44" s="22">
        <f>IF(AA$36&lt;=$C44,AA19-Z19,
AA19-Z19+INDEX($Z44:AA44,1,MATCH(AA$36-$C44,$Z$36:AA$36)))</f>
        <v>0</v>
      </c>
      <c r="AB44" s="22">
        <f>IF(AB$36&lt;=$C44,AB19-AA19,
AB19-AA19+INDEX($Z44:AB44,1,MATCH(AB$36-$C44,$Z$36:AB$36)))</f>
        <v>0</v>
      </c>
      <c r="AC44" s="22">
        <f>IF(AC$36&lt;=$C44,AC19-AB19,
AC19-AB19+INDEX($Z44:AC44,1,MATCH(AC$36-$C44,$Z$36:AC$36)))</f>
        <v>0</v>
      </c>
      <c r="AD44" s="22">
        <f>IF(AD$36&lt;=$C44,AD19-AC19,
AD19-AC19+INDEX($Z44:AD44,1,MATCH(AD$36-$C44,$Z$36:AD$36)))</f>
        <v>0</v>
      </c>
      <c r="AE44" s="22">
        <f>IF(AE$36&lt;=$C44,AE19-AD19,
AE19-AD19+INDEX($Z44:AE44,1,MATCH(AE$36-$C44,$Z$36:AE$36)))</f>
        <v>0</v>
      </c>
      <c r="AF44" s="22">
        <f>IF(AF$36&lt;=$C44,AF19-AE19,
AF19-AE19+INDEX($Z44:AF44,1,MATCH(AF$36-$C44,$Z$36:AF$36)))</f>
        <v>0</v>
      </c>
      <c r="AG44" s="22">
        <f>IF(AG$36&lt;=$C44,AG19-AF19,
AG19-AF19+INDEX($Z44:AG44,1,MATCH(AG$36-$C44,$Z$36:AG$36)))</f>
        <v>0</v>
      </c>
      <c r="AH44" s="22">
        <f>IF(AH$36&lt;=$C44,AH19-AG19,
AH19-AG19+INDEX($Z44:AH44,1,MATCH(AH$36-$C44,$Z$36:AH$36)))</f>
        <v>2</v>
      </c>
      <c r="AI44" s="22">
        <f>IF(AI$36&lt;=$C44,AI19-AH19,
AI19-AH19+INDEX($Z44:AI44,1,MATCH(AI$36-$C44,$Z$36:AI$36)))</f>
        <v>0</v>
      </c>
      <c r="AJ44" s="22">
        <f>IF(AJ$36&lt;=$C44,AJ19-AI19,
AJ19-AI19+INDEX($Z44:AJ44,1,MATCH(AJ$36-$C44,$Z$36:AJ$36)))</f>
        <v>0</v>
      </c>
      <c r="AK44" s="22">
        <f>IF(AK$36&lt;=$C44,AK19-AJ19,
AK19-AJ19+INDEX($Z44:AK44,1,MATCH(AK$36-$C44,$Z$36:AK$36)))</f>
        <v>0</v>
      </c>
      <c r="AL44" s="22">
        <f>IF(AL$36&lt;=$C44,AL19-AK19,
AL19-AK19+INDEX($Z44:AL44,1,MATCH(AL$36-$C44,$Z$36:AL$36)))</f>
        <v>0</v>
      </c>
      <c r="AM44" s="22">
        <f>IF(AM$36&lt;=$C44,AM19-AL19,
AM19-AL19+INDEX($Z44:AM44,1,MATCH(AM$36-$C44,$Z$36:AM$36)))</f>
        <v>0</v>
      </c>
      <c r="AN44" s="22">
        <f>IF(AN$36&lt;=$C44,AN19-AM19,
AN19-AM19+INDEX($Z44:AN44,1,MATCH(AN$36-$C44,$Z$36:AN$36)))</f>
        <v>0</v>
      </c>
      <c r="AO44" s="22">
        <f>IF(AO$36&lt;=$C44,AO19-AN19,
AO19-AN19+INDEX($Z44:AO44,1,MATCH(AO$36-$C44,$Z$36:AO$36)))</f>
        <v>0</v>
      </c>
      <c r="AP44" s="22">
        <f>IF(AP$36&lt;=$C44,AP19-AO19,
AP19-AO19+INDEX($Z44:AP44,1,MATCH(AP$36-$C44,$Z$36:AP$36)))</f>
        <v>2</v>
      </c>
      <c r="AQ44" s="22">
        <f>IF(AQ$36&lt;=$C44,AQ19-AP19,
AQ19-AP19+INDEX($Z44:AQ44,1,MATCH(AQ$36-$C44,$Z$36:AQ$36)))</f>
        <v>0</v>
      </c>
      <c r="AR44" s="22">
        <f>IF(AR$36&lt;=$C44,AR19-AQ19,
AR19-AQ19+INDEX($Z44:AR44,1,MATCH(AR$36-$C44,$Z$36:AR$36)))</f>
        <v>0</v>
      </c>
      <c r="AS44" s="22">
        <f>IF(AS$36&lt;=$C44,AS19-AR19,
AS19-AR19+INDEX($Z44:AS44,1,MATCH(AS$36-$C44,$Z$36:AS$36)))</f>
        <v>0</v>
      </c>
    </row>
    <row r="45" spans="1:45" x14ac:dyDescent="0.25">
      <c r="A45" s="8" t="str">
        <v>Interrogating - Call session control function software</v>
      </c>
      <c r="C45" s="11">
        <v>8</v>
      </c>
      <c r="D45" s="22">
        <f t="shared" si="0"/>
        <v>2</v>
      </c>
      <c r="E45" s="22">
        <f>IF(E$36&lt;=$C45,MAX(E20-D20,0),
MAX(E20-D20,0)+IF(E20&gt;=INDEX($D43:E43,1,MATCH(E$36-$C45,$D$36:E$36)),INDEX($D45:E45,1,MATCH(E$36-$C45,$D$36:E$36)),E20))</f>
        <v>0</v>
      </c>
      <c r="F45" s="22">
        <f>IF(F$36&lt;=$C45,MAX(F20-E20,0),
MAX(F20-E20,0)+IF(F20&gt;=INDEX($D43:F43,1,MATCH(F$36-$C45,$D$36:F$36)),INDEX($D45:F45,1,MATCH(F$36-$C45,$D$36:F$36)),F20))</f>
        <v>0</v>
      </c>
      <c r="G45" s="22">
        <f>IF(G$36&lt;=$C45,MAX(G20-F20,0),
MAX(G20-F20,0)+IF(G20&gt;=INDEX($D43:G43,1,MATCH(G$36-$C45,$D$36:G$36)),INDEX($D45:G45,1,MATCH(G$36-$C45,$D$36:G$36)),G20))</f>
        <v>0</v>
      </c>
      <c r="H45" s="22">
        <f>IF(H$36&lt;=$C45,MAX(H20-G20,0),
MAX(H20-G20,0)+IF(H20&gt;=INDEX($D43:H43,1,MATCH(H$36-$C45,$D$36:H$36)),INDEX($D45:H45,1,MATCH(H$36-$C45,$D$36:H$36)),H20))</f>
        <v>0</v>
      </c>
      <c r="I45" s="22">
        <f>IF(I$36&lt;=$C45,MAX(I20-H20,0),
MAX(I20-H20,0)+IF(I20&gt;=INDEX($D43:I43,1,MATCH(I$36-$C45,$D$36:I$36)),INDEX($D45:I45,1,MATCH(I$36-$C45,$D$36:I$36)),I20))</f>
        <v>0</v>
      </c>
      <c r="J45" s="22">
        <f>IF(J$36&lt;=$C45,MAX(J20-I20,0),
MAX(J20-I20,0)+IF(J20&gt;=INDEX($D43:J43,1,MATCH(J$36-$C45,$D$36:J$36)),INDEX($D45:J45,1,MATCH(J$36-$C45,$D$36:J$36)),J20))</f>
        <v>0</v>
      </c>
      <c r="K45" s="22">
        <f>IF(K$36&lt;=$C45,MAX(K20-J20,0),
MAX(K20-J20,0)+IF(K20&gt;=INDEX($D43:K43,1,MATCH(K$36-$C45,$D$36:K$36)),INDEX($D45:K45,1,MATCH(K$36-$C45,$D$36:K$36)),K20))</f>
        <v>0</v>
      </c>
      <c r="L45" s="22">
        <f>IF(L$36&lt;=$C45,MAX(L20-K20,0),
MAX(L20-K20,0)+IF(L20&gt;=INDEX($D43:L43,1,MATCH(L$36-$C45,$D$36:L$36)),INDEX($D45:L45,1,MATCH(L$36-$C45,$D$36:L$36)),L20))</f>
        <v>2</v>
      </c>
      <c r="M45" s="22">
        <f>IF(M$36&lt;=$C45,MAX(M20-L20,0),
MAX(M20-L20,0)+IF(M20&gt;=INDEX($D43:M43,1,MATCH(M$36-$C45,$D$36:M$36)),INDEX($D45:M45,1,MATCH(M$36-$C45,$D$36:M$36)),M20))</f>
        <v>0</v>
      </c>
      <c r="N45" s="22">
        <f>IF(N$36&lt;=$C45,MAX(N20-M20,0),
MAX(N20-M20,0)+IF(N20&gt;=INDEX($D43:N43,1,MATCH(N$36-$C45,$D$36:N$36)),INDEX($D45:N45,1,MATCH(N$36-$C45,$D$36:N$36)),N20))</f>
        <v>0</v>
      </c>
      <c r="O45" s="22">
        <f>IF(O$36&lt;=$C45,MAX(O20-N20,0),
MAX(O20-N20,0)+IF(O20&gt;=INDEX($D43:O43,1,MATCH(O$36-$C45,$D$36:O$36)),INDEX($D45:O45,1,MATCH(O$36-$C45,$D$36:O$36)),O20))</f>
        <v>0</v>
      </c>
      <c r="P45" s="22">
        <f>IF(P$36&lt;=$C45,MAX(P20-O20,0),
MAX(P20-O20,0)+IF(P20&gt;=INDEX($D43:P43,1,MATCH(P$36-$C45,$D$36:P$36)),INDEX($D45:P45,1,MATCH(P$36-$C45,$D$36:P$36)),P20))</f>
        <v>0</v>
      </c>
      <c r="Q45" s="22">
        <f>IF(Q$36&lt;=$C45,MAX(Q20-P20,0),
MAX(Q20-P20,0)+IF(Q20&gt;=INDEX($D43:Q43,1,MATCH(Q$36-$C45,$D$36:Q$36)),INDEX($D45:Q45,1,MATCH(Q$36-$C45,$D$36:Q$36)),Q20))</f>
        <v>0</v>
      </c>
      <c r="R45" s="22">
        <f>IF(R$36&lt;=$C45,MAX(R20-Q20,0),
MAX(R20-Q20,0)+IF(R20&gt;=INDEX($D43:R43,1,MATCH(R$36-$C45,$D$36:R$36)),INDEX($D45:R45,1,MATCH(R$36-$C45,$D$36:R$36)),R20))</f>
        <v>0</v>
      </c>
      <c r="S45" s="22">
        <f>IF(S$36&lt;=$C45,MAX(S20-R20,0),
MAX(S20-R20,0)+IF(S20&gt;=INDEX($D43:S43,1,MATCH(S$36-$C45,$D$36:S$36)),INDEX($D45:S45,1,MATCH(S$36-$C45,$D$36:S$36)),S20))</f>
        <v>0</v>
      </c>
      <c r="T45" s="22">
        <f>IF(T$36&lt;=$C45,MAX(T20-S20,0),
MAX(T20-S20,0)+IF(T20&gt;=INDEX($D43:T43,1,MATCH(T$36-$C45,$D$36:T$36)),INDEX($D45:T45,1,MATCH(T$36-$C45,$D$36:T$36)),T20))</f>
        <v>2</v>
      </c>
      <c r="U45" s="22">
        <f>IF(U$36&lt;=$C45,MAX(U20-T20,0),
MAX(U20-T20,0)+IF(U20&gt;=INDEX($D43:U43,1,MATCH(U$36-$C45,$D$36:U$36)),INDEX($D45:U45,1,MATCH(U$36-$C45,$D$36:U$36)),U20))</f>
        <v>0</v>
      </c>
      <c r="V45" s="22">
        <f>IF(V$36&lt;=$C45,MAX(V20-U20,0),
MAX(V20-U20,0)+IF(V20&gt;=INDEX($D43:V43,1,MATCH(V$36-$C45,$D$36:V$36)),INDEX($D45:V45,1,MATCH(V$36-$C45,$D$36:V$36)),V20))</f>
        <v>0</v>
      </c>
      <c r="W45" s="22">
        <f>IF(W$36&lt;=$C45,MAX(W20-V20,0),
MAX(W20-V20,0)+IF(W20&gt;=INDEX($D43:W43,1,MATCH(W$36-$C45,$D$36:W$36)),INDEX($D45:W45,1,MATCH(W$36-$C45,$D$36:W$36)),W20))</f>
        <v>0</v>
      </c>
      <c r="Z45" s="22">
        <f t="shared" si="1"/>
        <v>2</v>
      </c>
      <c r="AA45" s="22">
        <f>IF(AA$36&lt;=$C45,AA20-Z20,
AA20-Z20+INDEX($Z45:AA45,1,MATCH(AA$36-$C45,$Z$36:AA$36)))</f>
        <v>0</v>
      </c>
      <c r="AB45" s="22">
        <f>IF(AB$36&lt;=$C45,AB20-AA20,
AB20-AA20+INDEX($Z45:AB45,1,MATCH(AB$36-$C45,$Z$36:AB$36)))</f>
        <v>0</v>
      </c>
      <c r="AC45" s="22">
        <f>IF(AC$36&lt;=$C45,AC20-AB20,
AC20-AB20+INDEX($Z45:AC45,1,MATCH(AC$36-$C45,$Z$36:AC$36)))</f>
        <v>0</v>
      </c>
      <c r="AD45" s="22">
        <f>IF(AD$36&lt;=$C45,AD20-AC20,
AD20-AC20+INDEX($Z45:AD45,1,MATCH(AD$36-$C45,$Z$36:AD$36)))</f>
        <v>0</v>
      </c>
      <c r="AE45" s="22">
        <f>IF(AE$36&lt;=$C45,AE20-AD20,
AE20-AD20+INDEX($Z45:AE45,1,MATCH(AE$36-$C45,$Z$36:AE$36)))</f>
        <v>0</v>
      </c>
      <c r="AF45" s="22">
        <f>IF(AF$36&lt;=$C45,AF20-AE20,
AF20-AE20+INDEX($Z45:AF45,1,MATCH(AF$36-$C45,$Z$36:AF$36)))</f>
        <v>0</v>
      </c>
      <c r="AG45" s="22">
        <f>IF(AG$36&lt;=$C45,AG20-AF20,
AG20-AF20+INDEX($Z45:AG45,1,MATCH(AG$36-$C45,$Z$36:AG$36)))</f>
        <v>0</v>
      </c>
      <c r="AH45" s="22">
        <f>IF(AH$36&lt;=$C45,AH20-AG20,
AH20-AG20+INDEX($Z45:AH45,1,MATCH(AH$36-$C45,$Z$36:AH$36)))</f>
        <v>2</v>
      </c>
      <c r="AI45" s="22">
        <f>IF(AI$36&lt;=$C45,AI20-AH20,
AI20-AH20+INDEX($Z45:AI45,1,MATCH(AI$36-$C45,$Z$36:AI$36)))</f>
        <v>0</v>
      </c>
      <c r="AJ45" s="22">
        <f>IF(AJ$36&lt;=$C45,AJ20-AI20,
AJ20-AI20+INDEX($Z45:AJ45,1,MATCH(AJ$36-$C45,$Z$36:AJ$36)))</f>
        <v>0</v>
      </c>
      <c r="AK45" s="22">
        <f>IF(AK$36&lt;=$C45,AK20-AJ20,
AK20-AJ20+INDEX($Z45:AK45,1,MATCH(AK$36-$C45,$Z$36:AK$36)))</f>
        <v>0</v>
      </c>
      <c r="AL45" s="22">
        <f>IF(AL$36&lt;=$C45,AL20-AK20,
AL20-AK20+INDEX($Z45:AL45,1,MATCH(AL$36-$C45,$Z$36:AL$36)))</f>
        <v>0</v>
      </c>
      <c r="AM45" s="22">
        <f>IF(AM$36&lt;=$C45,AM20-AL20,
AM20-AL20+INDEX($Z45:AM45,1,MATCH(AM$36-$C45,$Z$36:AM$36)))</f>
        <v>0</v>
      </c>
      <c r="AN45" s="22">
        <f>IF(AN$36&lt;=$C45,AN20-AM20,
AN20-AM20+INDEX($Z45:AN45,1,MATCH(AN$36-$C45,$Z$36:AN$36)))</f>
        <v>0</v>
      </c>
      <c r="AO45" s="22">
        <f>IF(AO$36&lt;=$C45,AO20-AN20,
AO20-AN20+INDEX($Z45:AO45,1,MATCH(AO$36-$C45,$Z$36:AO$36)))</f>
        <v>0</v>
      </c>
      <c r="AP45" s="22">
        <f>IF(AP$36&lt;=$C45,AP20-AO20,
AP20-AO20+INDEX($Z45:AP45,1,MATCH(AP$36-$C45,$Z$36:AP$36)))</f>
        <v>2</v>
      </c>
      <c r="AQ45" s="22">
        <f>IF(AQ$36&lt;=$C45,AQ20-AP20,
AQ20-AP20+INDEX($Z45:AQ45,1,MATCH(AQ$36-$C45,$Z$36:AQ$36)))</f>
        <v>0</v>
      </c>
      <c r="AR45" s="22">
        <f>IF(AR$36&lt;=$C45,AR20-AQ20,
AR20-AQ20+INDEX($Z45:AR45,1,MATCH(AR$36-$C45,$Z$36:AR$36)))</f>
        <v>0</v>
      </c>
      <c r="AS45" s="22">
        <f>IF(AS$36&lt;=$C45,AS20-AR20,
AS20-AR20+INDEX($Z45:AS45,1,MATCH(AS$36-$C45,$Z$36:AS$36)))</f>
        <v>0</v>
      </c>
    </row>
    <row r="46" spans="1:45" x14ac:dyDescent="0.25">
      <c r="A46" s="8" t="str">
        <v>Serving - Call session control function hardware</v>
      </c>
      <c r="C46" s="11">
        <v>8</v>
      </c>
      <c r="D46" s="22">
        <f t="shared" si="0"/>
        <v>2</v>
      </c>
      <c r="E46" s="22">
        <f>IF(E$36&lt;=$C46,MAX(E21-D21,0),
MAX(E21-D21,0)+IF(E21&gt;=INDEX($D44:E44,1,MATCH(E$36-$C46,$D$36:E$36)),INDEX($D46:E46,1,MATCH(E$36-$C46,$D$36:E$36)),E21))</f>
        <v>0</v>
      </c>
      <c r="F46" s="22">
        <f>IF(F$36&lt;=$C46,MAX(F21-E21,0),
MAX(F21-E21,0)+IF(F21&gt;=INDEX($D44:F44,1,MATCH(F$36-$C46,$D$36:F$36)),INDEX($D46:F46,1,MATCH(F$36-$C46,$D$36:F$36)),F21))</f>
        <v>0</v>
      </c>
      <c r="G46" s="22">
        <f>IF(G$36&lt;=$C46,MAX(G21-F21,0),
MAX(G21-F21,0)+IF(G21&gt;=INDEX($D44:G44,1,MATCH(G$36-$C46,$D$36:G$36)),INDEX($D46:G46,1,MATCH(G$36-$C46,$D$36:G$36)),G21))</f>
        <v>0</v>
      </c>
      <c r="H46" s="22">
        <f>IF(H$36&lt;=$C46,MAX(H21-G21,0),
MAX(H21-G21,0)+IF(H21&gt;=INDEX($D44:H44,1,MATCH(H$36-$C46,$D$36:H$36)),INDEX($D46:H46,1,MATCH(H$36-$C46,$D$36:H$36)),H21))</f>
        <v>0</v>
      </c>
      <c r="I46" s="22">
        <f>IF(I$36&lt;=$C46,MAX(I21-H21,0),
MAX(I21-H21,0)+IF(I21&gt;=INDEX($D44:I44,1,MATCH(I$36-$C46,$D$36:I$36)),INDEX($D46:I46,1,MATCH(I$36-$C46,$D$36:I$36)),I21))</f>
        <v>0</v>
      </c>
      <c r="J46" s="22">
        <f>IF(J$36&lt;=$C46,MAX(J21-I21,0),
MAX(J21-I21,0)+IF(J21&gt;=INDEX($D44:J44,1,MATCH(J$36-$C46,$D$36:J$36)),INDEX($D46:J46,1,MATCH(J$36-$C46,$D$36:J$36)),J21))</f>
        <v>0</v>
      </c>
      <c r="K46" s="22">
        <f>IF(K$36&lt;=$C46,MAX(K21-J21,0),
MAX(K21-J21,0)+IF(K21&gt;=INDEX($D44:K44,1,MATCH(K$36-$C46,$D$36:K$36)),INDEX($D46:K46,1,MATCH(K$36-$C46,$D$36:K$36)),K21))</f>
        <v>0</v>
      </c>
      <c r="L46" s="22">
        <f>IF(L$36&lt;=$C46,MAX(L21-K21,0),
MAX(L21-K21,0)+IF(L21&gt;=INDEX($D44:L44,1,MATCH(L$36-$C46,$D$36:L$36)),INDEX($D46:L46,1,MATCH(L$36-$C46,$D$36:L$36)),L21))</f>
        <v>2</v>
      </c>
      <c r="M46" s="22">
        <f>IF(M$36&lt;=$C46,MAX(M21-L21,0),
MAX(M21-L21,0)+IF(M21&gt;=INDEX($D44:M44,1,MATCH(M$36-$C46,$D$36:M$36)),INDEX($D46:M46,1,MATCH(M$36-$C46,$D$36:M$36)),M21))</f>
        <v>0</v>
      </c>
      <c r="N46" s="22">
        <f>IF(N$36&lt;=$C46,MAX(N21-M21,0),
MAX(N21-M21,0)+IF(N21&gt;=INDEX($D44:N44,1,MATCH(N$36-$C46,$D$36:N$36)),INDEX($D46:N46,1,MATCH(N$36-$C46,$D$36:N$36)),N21))</f>
        <v>0</v>
      </c>
      <c r="O46" s="22">
        <f>IF(O$36&lt;=$C46,MAX(O21-N21,0),
MAX(O21-N21,0)+IF(O21&gt;=INDEX($D44:O44,1,MATCH(O$36-$C46,$D$36:O$36)),INDEX($D46:O46,1,MATCH(O$36-$C46,$D$36:O$36)),O21))</f>
        <v>0</v>
      </c>
      <c r="P46" s="22">
        <f>IF(P$36&lt;=$C46,MAX(P21-O21,0),
MAX(P21-O21,0)+IF(P21&gt;=INDEX($D44:P44,1,MATCH(P$36-$C46,$D$36:P$36)),INDEX($D46:P46,1,MATCH(P$36-$C46,$D$36:P$36)),P21))</f>
        <v>0</v>
      </c>
      <c r="Q46" s="22">
        <f>IF(Q$36&lt;=$C46,MAX(Q21-P21,0),
MAX(Q21-P21,0)+IF(Q21&gt;=INDEX($D44:Q44,1,MATCH(Q$36-$C46,$D$36:Q$36)),INDEX($D46:Q46,1,MATCH(Q$36-$C46,$D$36:Q$36)),Q21))</f>
        <v>0</v>
      </c>
      <c r="R46" s="22">
        <f>IF(R$36&lt;=$C46,MAX(R21-Q21,0),
MAX(R21-Q21,0)+IF(R21&gt;=INDEX($D44:R44,1,MATCH(R$36-$C46,$D$36:R$36)),INDEX($D46:R46,1,MATCH(R$36-$C46,$D$36:R$36)),R21))</f>
        <v>0</v>
      </c>
      <c r="S46" s="22">
        <f>IF(S$36&lt;=$C46,MAX(S21-R21,0),
MAX(S21-R21,0)+IF(S21&gt;=INDEX($D44:S44,1,MATCH(S$36-$C46,$D$36:S$36)),INDEX($D46:S46,1,MATCH(S$36-$C46,$D$36:S$36)),S21))</f>
        <v>0</v>
      </c>
      <c r="T46" s="22">
        <f>IF(T$36&lt;=$C46,MAX(T21-S21,0),
MAX(T21-S21,0)+IF(T21&gt;=INDEX($D44:T44,1,MATCH(T$36-$C46,$D$36:T$36)),INDEX($D46:T46,1,MATCH(T$36-$C46,$D$36:T$36)),T21))</f>
        <v>2</v>
      </c>
      <c r="U46" s="22">
        <f>IF(U$36&lt;=$C46,MAX(U21-T21,0),
MAX(U21-T21,0)+IF(U21&gt;=INDEX($D44:U44,1,MATCH(U$36-$C46,$D$36:U$36)),INDEX($D46:U46,1,MATCH(U$36-$C46,$D$36:U$36)),U21))</f>
        <v>0</v>
      </c>
      <c r="V46" s="22">
        <f>IF(V$36&lt;=$C46,MAX(V21-U21,0),
MAX(V21-U21,0)+IF(V21&gt;=INDEX($D44:V44,1,MATCH(V$36-$C46,$D$36:V$36)),INDEX($D46:V46,1,MATCH(V$36-$C46,$D$36:V$36)),V21))</f>
        <v>0</v>
      </c>
      <c r="W46" s="22">
        <f>IF(W$36&lt;=$C46,MAX(W21-V21,0),
MAX(W21-V21,0)+IF(W21&gt;=INDEX($D44:W44,1,MATCH(W$36-$C46,$D$36:W$36)),INDEX($D46:W46,1,MATCH(W$36-$C46,$D$36:W$36)),W21))</f>
        <v>0</v>
      </c>
      <c r="Z46" s="22">
        <f t="shared" si="1"/>
        <v>2</v>
      </c>
      <c r="AA46" s="22">
        <f>IF(AA$36&lt;=$C46,AA21-Z21,
AA21-Z21+INDEX($Z46:AA46,1,MATCH(AA$36-$C46,$Z$36:AA$36)))</f>
        <v>0</v>
      </c>
      <c r="AB46" s="22">
        <f>IF(AB$36&lt;=$C46,AB21-AA21,
AB21-AA21+INDEX($Z46:AB46,1,MATCH(AB$36-$C46,$Z$36:AB$36)))</f>
        <v>0</v>
      </c>
      <c r="AC46" s="22">
        <f>IF(AC$36&lt;=$C46,AC21-AB21,
AC21-AB21+INDEX($Z46:AC46,1,MATCH(AC$36-$C46,$Z$36:AC$36)))</f>
        <v>0</v>
      </c>
      <c r="AD46" s="22">
        <f>IF(AD$36&lt;=$C46,AD21-AC21,
AD21-AC21+INDEX($Z46:AD46,1,MATCH(AD$36-$C46,$Z$36:AD$36)))</f>
        <v>0</v>
      </c>
      <c r="AE46" s="22">
        <f>IF(AE$36&lt;=$C46,AE21-AD21,
AE21-AD21+INDEX($Z46:AE46,1,MATCH(AE$36-$C46,$Z$36:AE$36)))</f>
        <v>0</v>
      </c>
      <c r="AF46" s="22">
        <f>IF(AF$36&lt;=$C46,AF21-AE21,
AF21-AE21+INDEX($Z46:AF46,1,MATCH(AF$36-$C46,$Z$36:AF$36)))</f>
        <v>0</v>
      </c>
      <c r="AG46" s="22">
        <f>IF(AG$36&lt;=$C46,AG21-AF21,
AG21-AF21+INDEX($Z46:AG46,1,MATCH(AG$36-$C46,$Z$36:AG$36)))</f>
        <v>0</v>
      </c>
      <c r="AH46" s="22">
        <f>IF(AH$36&lt;=$C46,AH21-AG21,
AH21-AG21+INDEX($Z46:AH46,1,MATCH(AH$36-$C46,$Z$36:AH$36)))</f>
        <v>2</v>
      </c>
      <c r="AI46" s="22">
        <f>IF(AI$36&lt;=$C46,AI21-AH21,
AI21-AH21+INDEX($Z46:AI46,1,MATCH(AI$36-$C46,$Z$36:AI$36)))</f>
        <v>0</v>
      </c>
      <c r="AJ46" s="22">
        <f>IF(AJ$36&lt;=$C46,AJ21-AI21,
AJ21-AI21+INDEX($Z46:AJ46,1,MATCH(AJ$36-$C46,$Z$36:AJ$36)))</f>
        <v>0</v>
      </c>
      <c r="AK46" s="22">
        <f>IF(AK$36&lt;=$C46,AK21-AJ21,
AK21-AJ21+INDEX($Z46:AK46,1,MATCH(AK$36-$C46,$Z$36:AK$36)))</f>
        <v>0</v>
      </c>
      <c r="AL46" s="22">
        <f>IF(AL$36&lt;=$C46,AL21-AK21,
AL21-AK21+INDEX($Z46:AL46,1,MATCH(AL$36-$C46,$Z$36:AL$36)))</f>
        <v>0</v>
      </c>
      <c r="AM46" s="22">
        <f>IF(AM$36&lt;=$C46,AM21-AL21,
AM21-AL21+INDEX($Z46:AM46,1,MATCH(AM$36-$C46,$Z$36:AM$36)))</f>
        <v>0</v>
      </c>
      <c r="AN46" s="22">
        <f>IF(AN$36&lt;=$C46,AN21-AM21,
AN21-AM21+INDEX($Z46:AN46,1,MATCH(AN$36-$C46,$Z$36:AN$36)))</f>
        <v>0</v>
      </c>
      <c r="AO46" s="22">
        <f>IF(AO$36&lt;=$C46,AO21-AN21,
AO21-AN21+INDEX($Z46:AO46,1,MATCH(AO$36-$C46,$Z$36:AO$36)))</f>
        <v>0</v>
      </c>
      <c r="AP46" s="22">
        <f>IF(AP$36&lt;=$C46,AP21-AO21,
AP21-AO21+INDEX($Z46:AP46,1,MATCH(AP$36-$C46,$Z$36:AP$36)))</f>
        <v>2</v>
      </c>
      <c r="AQ46" s="22">
        <f>IF(AQ$36&lt;=$C46,AQ21-AP21,
AQ21-AP21+INDEX($Z46:AQ46,1,MATCH(AQ$36-$C46,$Z$36:AQ$36)))</f>
        <v>0</v>
      </c>
      <c r="AR46" s="22">
        <f>IF(AR$36&lt;=$C46,AR21-AQ21,
AR21-AQ21+INDEX($Z46:AR46,1,MATCH(AR$36-$C46,$Z$36:AR$36)))</f>
        <v>0</v>
      </c>
      <c r="AS46" s="22">
        <f>IF(AS$36&lt;=$C46,AS21-AR21,
AS21-AR21+INDEX($Z46:AS46,1,MATCH(AS$36-$C46,$Z$36:AS$36)))</f>
        <v>0</v>
      </c>
    </row>
    <row r="47" spans="1:45" x14ac:dyDescent="0.25">
      <c r="A47" s="8" t="str">
        <v>Serving - Call session control function software</v>
      </c>
      <c r="C47" s="11">
        <v>8</v>
      </c>
      <c r="D47" s="22">
        <f t="shared" si="0"/>
        <v>2</v>
      </c>
      <c r="E47" s="22">
        <f>IF(E$36&lt;=$C47,MAX(E22-D22,0),
MAX(E22-D22,0)+IF(E22&gt;=INDEX($D45:E45,1,MATCH(E$36-$C47,$D$36:E$36)),INDEX($D47:E47,1,MATCH(E$36-$C47,$D$36:E$36)),E22))</f>
        <v>0</v>
      </c>
      <c r="F47" s="22">
        <f>IF(F$36&lt;=$C47,MAX(F22-E22,0),
MAX(F22-E22,0)+IF(F22&gt;=INDEX($D45:F45,1,MATCH(F$36-$C47,$D$36:F$36)),INDEX($D47:F47,1,MATCH(F$36-$C47,$D$36:F$36)),F22))</f>
        <v>0</v>
      </c>
      <c r="G47" s="22">
        <f>IF(G$36&lt;=$C47,MAX(G22-F22,0),
MAX(G22-F22,0)+IF(G22&gt;=INDEX($D45:G45,1,MATCH(G$36-$C47,$D$36:G$36)),INDEX($D47:G47,1,MATCH(G$36-$C47,$D$36:G$36)),G22))</f>
        <v>0</v>
      </c>
      <c r="H47" s="22">
        <f>IF(H$36&lt;=$C47,MAX(H22-G22,0),
MAX(H22-G22,0)+IF(H22&gt;=INDEX($D45:H45,1,MATCH(H$36-$C47,$D$36:H$36)),INDEX($D47:H47,1,MATCH(H$36-$C47,$D$36:H$36)),H22))</f>
        <v>0</v>
      </c>
      <c r="I47" s="22">
        <f>IF(I$36&lt;=$C47,MAX(I22-H22,0),
MAX(I22-H22,0)+IF(I22&gt;=INDEX($D45:I45,1,MATCH(I$36-$C47,$D$36:I$36)),INDEX($D47:I47,1,MATCH(I$36-$C47,$D$36:I$36)),I22))</f>
        <v>0</v>
      </c>
      <c r="J47" s="22">
        <f>IF(J$36&lt;=$C47,MAX(J22-I22,0),
MAX(J22-I22,0)+IF(J22&gt;=INDEX($D45:J45,1,MATCH(J$36-$C47,$D$36:J$36)),INDEX($D47:J47,1,MATCH(J$36-$C47,$D$36:J$36)),J22))</f>
        <v>0</v>
      </c>
      <c r="K47" s="22">
        <f>IF(K$36&lt;=$C47,MAX(K22-J22,0),
MAX(K22-J22,0)+IF(K22&gt;=INDEX($D45:K45,1,MATCH(K$36-$C47,$D$36:K$36)),INDEX($D47:K47,1,MATCH(K$36-$C47,$D$36:K$36)),K22))</f>
        <v>0</v>
      </c>
      <c r="L47" s="22">
        <f>IF(L$36&lt;=$C47,MAX(L22-K22,0),
MAX(L22-K22,0)+IF(L22&gt;=INDEX($D45:L45,1,MATCH(L$36-$C47,$D$36:L$36)),INDEX($D47:L47,1,MATCH(L$36-$C47,$D$36:L$36)),L22))</f>
        <v>2</v>
      </c>
      <c r="M47" s="22">
        <f>IF(M$36&lt;=$C47,MAX(M22-L22,0),
MAX(M22-L22,0)+IF(M22&gt;=INDEX($D45:M45,1,MATCH(M$36-$C47,$D$36:M$36)),INDEX($D47:M47,1,MATCH(M$36-$C47,$D$36:M$36)),M22))</f>
        <v>0</v>
      </c>
      <c r="N47" s="22">
        <f>IF(N$36&lt;=$C47,MAX(N22-M22,0),
MAX(N22-M22,0)+IF(N22&gt;=INDEX($D45:N45,1,MATCH(N$36-$C47,$D$36:N$36)),INDEX($D47:N47,1,MATCH(N$36-$C47,$D$36:N$36)),N22))</f>
        <v>0</v>
      </c>
      <c r="O47" s="22">
        <f>IF(O$36&lt;=$C47,MAX(O22-N22,0),
MAX(O22-N22,0)+IF(O22&gt;=INDEX($D45:O45,1,MATCH(O$36-$C47,$D$36:O$36)),INDEX($D47:O47,1,MATCH(O$36-$C47,$D$36:O$36)),O22))</f>
        <v>0</v>
      </c>
      <c r="P47" s="22">
        <f>IF(P$36&lt;=$C47,MAX(P22-O22,0),
MAX(P22-O22,0)+IF(P22&gt;=INDEX($D45:P45,1,MATCH(P$36-$C47,$D$36:P$36)),INDEX($D47:P47,1,MATCH(P$36-$C47,$D$36:P$36)),P22))</f>
        <v>0</v>
      </c>
      <c r="Q47" s="22">
        <f>IF(Q$36&lt;=$C47,MAX(Q22-P22,0),
MAX(Q22-P22,0)+IF(Q22&gt;=INDEX($D45:Q45,1,MATCH(Q$36-$C47,$D$36:Q$36)),INDEX($D47:Q47,1,MATCH(Q$36-$C47,$D$36:Q$36)),Q22))</f>
        <v>0</v>
      </c>
      <c r="R47" s="22">
        <f>IF(R$36&lt;=$C47,MAX(R22-Q22,0),
MAX(R22-Q22,0)+IF(R22&gt;=INDEX($D45:R45,1,MATCH(R$36-$C47,$D$36:R$36)),INDEX($D47:R47,1,MATCH(R$36-$C47,$D$36:R$36)),R22))</f>
        <v>0</v>
      </c>
      <c r="S47" s="22">
        <f>IF(S$36&lt;=$C47,MAX(S22-R22,0),
MAX(S22-R22,0)+IF(S22&gt;=INDEX($D45:S45,1,MATCH(S$36-$C47,$D$36:S$36)),INDEX($D47:S47,1,MATCH(S$36-$C47,$D$36:S$36)),S22))</f>
        <v>0</v>
      </c>
      <c r="T47" s="22">
        <f>IF(T$36&lt;=$C47,MAX(T22-S22,0),
MAX(T22-S22,0)+IF(T22&gt;=INDEX($D45:T45,1,MATCH(T$36-$C47,$D$36:T$36)),INDEX($D47:T47,1,MATCH(T$36-$C47,$D$36:T$36)),T22))</f>
        <v>2</v>
      </c>
      <c r="U47" s="22">
        <f>IF(U$36&lt;=$C47,MAX(U22-T22,0),
MAX(U22-T22,0)+IF(U22&gt;=INDEX($D45:U45,1,MATCH(U$36-$C47,$D$36:U$36)),INDEX($D47:U47,1,MATCH(U$36-$C47,$D$36:U$36)),U22))</f>
        <v>0</v>
      </c>
      <c r="V47" s="22">
        <f>IF(V$36&lt;=$C47,MAX(V22-U22,0),
MAX(V22-U22,0)+IF(V22&gt;=INDEX($D45:V45,1,MATCH(V$36-$C47,$D$36:V$36)),INDEX($D47:V47,1,MATCH(V$36-$C47,$D$36:V$36)),V22))</f>
        <v>0</v>
      </c>
      <c r="W47" s="22">
        <f>IF(W$36&lt;=$C47,MAX(W22-V22,0),
MAX(W22-V22,0)+IF(W22&gt;=INDEX($D45:W45,1,MATCH(W$36-$C47,$D$36:W$36)),INDEX($D47:W47,1,MATCH(W$36-$C47,$D$36:W$36)),W22))</f>
        <v>0</v>
      </c>
      <c r="Z47" s="22">
        <f t="shared" si="1"/>
        <v>2</v>
      </c>
      <c r="AA47" s="22">
        <f>IF(AA$36&lt;=$C47,AA22-Z22,
AA22-Z22+INDEX($Z47:AA47,1,MATCH(AA$36-$C47,$Z$36:AA$36)))</f>
        <v>0</v>
      </c>
      <c r="AB47" s="22">
        <f>IF(AB$36&lt;=$C47,AB22-AA22,
AB22-AA22+INDEX($Z47:AB47,1,MATCH(AB$36-$C47,$Z$36:AB$36)))</f>
        <v>0</v>
      </c>
      <c r="AC47" s="22">
        <f>IF(AC$36&lt;=$C47,AC22-AB22,
AC22-AB22+INDEX($Z47:AC47,1,MATCH(AC$36-$C47,$Z$36:AC$36)))</f>
        <v>0</v>
      </c>
      <c r="AD47" s="22">
        <f>IF(AD$36&lt;=$C47,AD22-AC22,
AD22-AC22+INDEX($Z47:AD47,1,MATCH(AD$36-$C47,$Z$36:AD$36)))</f>
        <v>0</v>
      </c>
      <c r="AE47" s="22">
        <f>IF(AE$36&lt;=$C47,AE22-AD22,
AE22-AD22+INDEX($Z47:AE47,1,MATCH(AE$36-$C47,$Z$36:AE$36)))</f>
        <v>0</v>
      </c>
      <c r="AF47" s="22">
        <f>IF(AF$36&lt;=$C47,AF22-AE22,
AF22-AE22+INDEX($Z47:AF47,1,MATCH(AF$36-$C47,$Z$36:AF$36)))</f>
        <v>0</v>
      </c>
      <c r="AG47" s="22">
        <f>IF(AG$36&lt;=$C47,AG22-AF22,
AG22-AF22+INDEX($Z47:AG47,1,MATCH(AG$36-$C47,$Z$36:AG$36)))</f>
        <v>0</v>
      </c>
      <c r="AH47" s="22">
        <f>IF(AH$36&lt;=$C47,AH22-AG22,
AH22-AG22+INDEX($Z47:AH47,1,MATCH(AH$36-$C47,$Z$36:AH$36)))</f>
        <v>2</v>
      </c>
      <c r="AI47" s="22">
        <f>IF(AI$36&lt;=$C47,AI22-AH22,
AI22-AH22+INDEX($Z47:AI47,1,MATCH(AI$36-$C47,$Z$36:AI$36)))</f>
        <v>0</v>
      </c>
      <c r="AJ47" s="22">
        <f>IF(AJ$36&lt;=$C47,AJ22-AI22,
AJ22-AI22+INDEX($Z47:AJ47,1,MATCH(AJ$36-$C47,$Z$36:AJ$36)))</f>
        <v>0</v>
      </c>
      <c r="AK47" s="22">
        <f>IF(AK$36&lt;=$C47,AK22-AJ22,
AK22-AJ22+INDEX($Z47:AK47,1,MATCH(AK$36-$C47,$Z$36:AK$36)))</f>
        <v>0</v>
      </c>
      <c r="AL47" s="22">
        <f>IF(AL$36&lt;=$C47,AL22-AK22,
AL22-AK22+INDEX($Z47:AL47,1,MATCH(AL$36-$C47,$Z$36:AL$36)))</f>
        <v>0</v>
      </c>
      <c r="AM47" s="22">
        <f>IF(AM$36&lt;=$C47,AM22-AL22,
AM22-AL22+INDEX($Z47:AM47,1,MATCH(AM$36-$C47,$Z$36:AM$36)))</f>
        <v>0</v>
      </c>
      <c r="AN47" s="22">
        <f>IF(AN$36&lt;=$C47,AN22-AM22,
AN22-AM22+INDEX($Z47:AN47,1,MATCH(AN$36-$C47,$Z$36:AN$36)))</f>
        <v>0</v>
      </c>
      <c r="AO47" s="22">
        <f>IF(AO$36&lt;=$C47,AO22-AN22,
AO22-AN22+INDEX($Z47:AO47,1,MATCH(AO$36-$C47,$Z$36:AO$36)))</f>
        <v>0</v>
      </c>
      <c r="AP47" s="22">
        <f>IF(AP$36&lt;=$C47,AP22-AO22,
AP22-AO22+INDEX($Z47:AP47,1,MATCH(AP$36-$C47,$Z$36:AP$36)))</f>
        <v>2</v>
      </c>
      <c r="AQ47" s="22">
        <f>IF(AQ$36&lt;=$C47,AQ22-AP22,
AQ22-AP22+INDEX($Z47:AQ47,1,MATCH(AQ$36-$C47,$Z$36:AQ$36)))</f>
        <v>0</v>
      </c>
      <c r="AR47" s="22">
        <f>IF(AR$36&lt;=$C47,AR22-AQ22,
AR22-AQ22+INDEX($Z47:AR47,1,MATCH(AR$36-$C47,$Z$36:AR$36)))</f>
        <v>0</v>
      </c>
      <c r="AS47" s="22">
        <f>IF(AS$36&lt;=$C47,AS22-AR22,
AS22-AR22+INDEX($Z47:AS47,1,MATCH(AS$36-$C47,$Z$36:AS$36)))</f>
        <v>0</v>
      </c>
    </row>
    <row r="48" spans="1:45" x14ac:dyDescent="0.25">
      <c r="A48" s="8" t="str">
        <v>Media resource function - hardware</v>
      </c>
      <c r="C48" s="11">
        <v>8</v>
      </c>
      <c r="D48" s="22">
        <f t="shared" si="0"/>
        <v>126</v>
      </c>
      <c r="E48" s="22">
        <f>IF(E$36&lt;=$C48,MAX(E23-D23,0),
MAX(E23-D23,0)+IF(E23&gt;=INDEX($D46:E46,1,MATCH(E$36-$C48,$D$36:E$36)),INDEX($D48:E48,1,MATCH(E$36-$C48,$D$36:E$36)),E23))</f>
        <v>2</v>
      </c>
      <c r="F48" s="22">
        <f>IF(F$36&lt;=$C48,MAX(F23-E23,0),
MAX(F23-E23,0)+IF(F23&gt;=INDEX($D46:F46,1,MATCH(F$36-$C48,$D$36:F$36)),INDEX($D48:F48,1,MATCH(F$36-$C48,$D$36:F$36)),F23))</f>
        <v>6</v>
      </c>
      <c r="G48" s="22">
        <f>IF(G$36&lt;=$C48,MAX(G23-F23,0),
MAX(G23-F23,0)+IF(G23&gt;=INDEX($D46:G46,1,MATCH(G$36-$C48,$D$36:G$36)),INDEX($D48:G48,1,MATCH(G$36-$C48,$D$36:G$36)),G23))</f>
        <v>0</v>
      </c>
      <c r="H48" s="22">
        <f>IF(H$36&lt;=$C48,MAX(H23-G23,0),
MAX(H23-G23,0)+IF(H23&gt;=INDEX($D46:H46,1,MATCH(H$36-$C48,$D$36:H$36)),INDEX($D48:H48,1,MATCH(H$36-$C48,$D$36:H$36)),H23))</f>
        <v>0</v>
      </c>
      <c r="I48" s="22">
        <f>IF(I$36&lt;=$C48,MAX(I23-H23,0),
MAX(I23-H23,0)+IF(I23&gt;=INDEX($D46:I46,1,MATCH(I$36-$C48,$D$36:I$36)),INDEX($D48:I48,1,MATCH(I$36-$C48,$D$36:I$36)),I23))</f>
        <v>2</v>
      </c>
      <c r="J48" s="22">
        <f>IF(J$36&lt;=$C48,MAX(J23-I23,0),
MAX(J23-I23,0)+IF(J23&gt;=INDEX($D46:J46,1,MATCH(J$36-$C48,$D$36:J$36)),INDEX($D48:J48,1,MATCH(J$36-$C48,$D$36:J$36)),J23))</f>
        <v>0</v>
      </c>
      <c r="K48" s="22">
        <f>IF(K$36&lt;=$C48,MAX(K23-J23,0),
MAX(K23-J23,0)+IF(K23&gt;=INDEX($D46:K46,1,MATCH(K$36-$C48,$D$36:K$36)),INDEX($D48:K48,1,MATCH(K$36-$C48,$D$36:K$36)),K23))</f>
        <v>0</v>
      </c>
      <c r="L48" s="22">
        <f>IF(L$36&lt;=$C48,MAX(L23-K23,0),
MAX(L23-K23,0)+IF(L23&gt;=INDEX($D46:L46,1,MATCH(L$36-$C48,$D$36:L$36)),INDEX($D48:L48,1,MATCH(L$36-$C48,$D$36:L$36)),L23))</f>
        <v>128</v>
      </c>
      <c r="M48" s="22">
        <f>IF(M$36&lt;=$C48,MAX(M23-L23,0),
MAX(M23-L23,0)+IF(M23&gt;=INDEX($D46:M46,1,MATCH(M$36-$C48,$D$36:M$36)),INDEX($D48:M48,1,MATCH(M$36-$C48,$D$36:M$36)),M23))</f>
        <v>2</v>
      </c>
      <c r="N48" s="22">
        <f>IF(N$36&lt;=$C48,MAX(N23-M23,0),
MAX(N23-M23,0)+IF(N23&gt;=INDEX($D46:N46,1,MATCH(N$36-$C48,$D$36:N$36)),INDEX($D48:N48,1,MATCH(N$36-$C48,$D$36:N$36)),N23))</f>
        <v>6</v>
      </c>
      <c r="O48" s="22">
        <f>IF(O$36&lt;=$C48,MAX(O23-N23,0),
MAX(O23-N23,0)+IF(O23&gt;=INDEX($D46:O46,1,MATCH(O$36-$C48,$D$36:O$36)),INDEX($D48:O48,1,MATCH(O$36-$C48,$D$36:O$36)),O23))</f>
        <v>2</v>
      </c>
      <c r="P48" s="22">
        <f>IF(P$36&lt;=$C48,MAX(P23-O23,0),
MAX(P23-O23,0)+IF(P23&gt;=INDEX($D46:P46,1,MATCH(P$36-$C48,$D$36:P$36)),INDEX($D48:P48,1,MATCH(P$36-$C48,$D$36:P$36)),P23))</f>
        <v>0</v>
      </c>
      <c r="Q48" s="22">
        <f>IF(Q$36&lt;=$C48,MAX(Q23-P23,0),
MAX(Q23-P23,0)+IF(Q23&gt;=INDEX($D46:Q46,1,MATCH(Q$36-$C48,$D$36:Q$36)),INDEX($D48:Q48,1,MATCH(Q$36-$C48,$D$36:Q$36)),Q23))</f>
        <v>2</v>
      </c>
      <c r="R48" s="22">
        <f>IF(R$36&lt;=$C48,MAX(R23-Q23,0),
MAX(R23-Q23,0)+IF(R23&gt;=INDEX($D46:R46,1,MATCH(R$36-$C48,$D$36:R$36)),INDEX($D48:R48,1,MATCH(R$36-$C48,$D$36:R$36)),R23))</f>
        <v>2</v>
      </c>
      <c r="S48" s="22">
        <f>IF(S$36&lt;=$C48,MAX(S23-R23,0),
MAX(S23-R23,0)+IF(S23&gt;=INDEX($D46:S46,1,MATCH(S$36-$C48,$D$36:S$36)),INDEX($D48:S48,1,MATCH(S$36-$C48,$D$36:S$36)),S23))</f>
        <v>0</v>
      </c>
      <c r="T48" s="22">
        <f>IF(T$36&lt;=$C48,MAX(T23-S23,0),
MAX(T23-S23,0)+IF(T23&gt;=INDEX($D46:T46,1,MATCH(T$36-$C48,$D$36:T$36)),INDEX($D48:T48,1,MATCH(T$36-$C48,$D$36:T$36)),T23))</f>
        <v>128</v>
      </c>
      <c r="U48" s="22">
        <f>IF(U$36&lt;=$C48,MAX(U23-T23,0),
MAX(U23-T23,0)+IF(U23&gt;=INDEX($D46:U46,1,MATCH(U$36-$C48,$D$36:U$36)),INDEX($D48:U48,1,MATCH(U$36-$C48,$D$36:U$36)),U23))</f>
        <v>4</v>
      </c>
      <c r="V48" s="22">
        <f>IF(V$36&lt;=$C48,MAX(V23-U23,0),
MAX(V23-U23,0)+IF(V23&gt;=INDEX($D46:V46,1,MATCH(V$36-$C48,$D$36:V$36)),INDEX($D48:V48,1,MATCH(V$36-$C48,$D$36:V$36)),V23))</f>
        <v>6</v>
      </c>
      <c r="W48" s="22">
        <f>IF(W$36&lt;=$C48,MAX(W23-V23,0),
MAX(W23-V23,0)+IF(W23&gt;=INDEX($D46:W46,1,MATCH(W$36-$C48,$D$36:W$36)),INDEX($D48:W48,1,MATCH(W$36-$C48,$D$36:W$36)),W23))</f>
        <v>2</v>
      </c>
      <c r="Z48" s="22">
        <f t="shared" si="1"/>
        <v>60</v>
      </c>
      <c r="AA48" s="22">
        <f>IF(AA$36&lt;=$C48,AA23-Z23,
AA23-Z23+INDEX($Z48:AA48,1,MATCH(AA$36-$C48,$Z$36:AA$36)))</f>
        <v>-2</v>
      </c>
      <c r="AB48" s="22">
        <f>IF(AB$36&lt;=$C48,AB23-AA23,
AB23-AA23+INDEX($Z48:AB48,1,MATCH(AB$36-$C48,$Z$36:AB$36)))</f>
        <v>-4</v>
      </c>
      <c r="AC48" s="22">
        <f>IF(AC$36&lt;=$C48,AC23-AB23,
AC23-AB23+INDEX($Z48:AC48,1,MATCH(AC$36-$C48,$Z$36:AC$36)))</f>
        <v>-4</v>
      </c>
      <c r="AD48" s="22">
        <f>IF(AD$36&lt;=$C48,AD23-AC23,
AD23-AC23+INDEX($Z48:AD48,1,MATCH(AD$36-$C48,$Z$36:AD$36)))</f>
        <v>0</v>
      </c>
      <c r="AE48" s="22">
        <f>IF(AE$36&lt;=$C48,AE23-AD23,
AE23-AD23+INDEX($Z48:AE48,1,MATCH(AE$36-$C48,$Z$36:AE$36)))</f>
        <v>0</v>
      </c>
      <c r="AF48" s="22">
        <f>IF(AF$36&lt;=$C48,AF23-AE23,
AF23-AE23+INDEX($Z48:AF48,1,MATCH(AF$36-$C48,$Z$36:AF$36)))</f>
        <v>0</v>
      </c>
      <c r="AG48" s="22">
        <f>IF(AG$36&lt;=$C48,AG23-AF23,
AG23-AF23+INDEX($Z48:AG48,1,MATCH(AG$36-$C48,$Z$36:AG$36)))</f>
        <v>2</v>
      </c>
      <c r="AH48" s="22">
        <f>IF(AH$36&lt;=$C48,AH23-AG23,
AH23-AG23+INDEX($Z48:AH48,1,MATCH(AH$36-$C48,$Z$36:AH$36)))</f>
        <v>60</v>
      </c>
      <c r="AI48" s="22">
        <f>IF(AI$36&lt;=$C48,AI23-AH23,
AI23-AH23+INDEX($Z48:AI48,1,MATCH(AI$36-$C48,$Z$36:AI$36)))</f>
        <v>-2</v>
      </c>
      <c r="AJ48" s="22">
        <f>IF(AJ$36&lt;=$C48,AJ23-AI23,
AJ23-AI23+INDEX($Z48:AJ48,1,MATCH(AJ$36-$C48,$Z$36:AJ$36)))</f>
        <v>-4</v>
      </c>
      <c r="AK48" s="22">
        <f>IF(AK$36&lt;=$C48,AK23-AJ23,
AK23-AJ23+INDEX($Z48:AK48,1,MATCH(AK$36-$C48,$Z$36:AK$36)))</f>
        <v>-4</v>
      </c>
      <c r="AL48" s="22">
        <f>IF(AL$36&lt;=$C48,AL23-AK23,
AL23-AK23+INDEX($Z48:AL48,1,MATCH(AL$36-$C48,$Z$36:AL$36)))</f>
        <v>0</v>
      </c>
      <c r="AM48" s="22">
        <f>IF(AM$36&lt;=$C48,AM23-AL23,
AM23-AL23+INDEX($Z48:AM48,1,MATCH(AM$36-$C48,$Z$36:AM$36)))</f>
        <v>0</v>
      </c>
      <c r="AN48" s="22">
        <f>IF(AN$36&lt;=$C48,AN23-AM23,
AN23-AM23+INDEX($Z48:AN48,1,MATCH(AN$36-$C48,$Z$36:AN$36)))</f>
        <v>0</v>
      </c>
      <c r="AO48" s="22">
        <f>IF(AO$36&lt;=$C48,AO23-AN23,
AO23-AN23+INDEX($Z48:AO48,1,MATCH(AO$36-$C48,$Z$36:AO$36)))</f>
        <v>4</v>
      </c>
      <c r="AP48" s="22">
        <f>IF(AP$36&lt;=$C48,AP23-AO23,
AP23-AO23+INDEX($Z48:AP48,1,MATCH(AP$36-$C48,$Z$36:AP$36)))</f>
        <v>60</v>
      </c>
      <c r="AQ48" s="22">
        <f>IF(AQ$36&lt;=$C48,AQ23-AP23,
AQ23-AP23+INDEX($Z48:AQ48,1,MATCH(AQ$36-$C48,$Z$36:AQ$36)))</f>
        <v>-2</v>
      </c>
      <c r="AR48" s="22">
        <f>IF(AR$36&lt;=$C48,AR23-AQ23,
AR23-AQ23+INDEX($Z48:AR48,1,MATCH(AR$36-$C48,$Z$36:AR$36)))</f>
        <v>-4</v>
      </c>
      <c r="AS48" s="22">
        <f>IF(AS$36&lt;=$C48,AS23-AR23,
AS23-AR23+INDEX($Z48:AS48,1,MATCH(AS$36-$C48,$Z$36:AS$36)))</f>
        <v>-4</v>
      </c>
    </row>
    <row r="49" spans="1:46" x14ac:dyDescent="0.25">
      <c r="A49" s="8" t="str">
        <v>Media resource function - software</v>
      </c>
      <c r="C49" s="11">
        <v>8</v>
      </c>
      <c r="D49" s="22">
        <f t="shared" si="0"/>
        <v>144</v>
      </c>
      <c r="E49" s="22">
        <f>IF(E$36&lt;=$C49,MAX(E24-D24,0),
MAX(E24-D24,0)+IF(E24&gt;=INDEX($D47:E47,1,MATCH(E$36-$C49,$D$36:E$36)),INDEX($D49:E49,1,MATCH(E$36-$C49,$D$36:E$36)),E24))</f>
        <v>2</v>
      </c>
      <c r="F49" s="22">
        <f>IF(F$36&lt;=$C49,MAX(F24-E24,0),
MAX(F24-E24,0)+IF(F24&gt;=INDEX($D47:F47,1,MATCH(F$36-$C49,$D$36:F$36)),INDEX($D49:F49,1,MATCH(F$36-$C49,$D$36:F$36)),F24))</f>
        <v>6</v>
      </c>
      <c r="G49" s="22">
        <f>IF(G$36&lt;=$C49,MAX(G24-F24,0),
MAX(G24-F24,0)+IF(G24&gt;=INDEX($D47:G47,1,MATCH(G$36-$C49,$D$36:G$36)),INDEX($D49:G49,1,MATCH(G$36-$C49,$D$36:G$36)),G24))</f>
        <v>0</v>
      </c>
      <c r="H49" s="22">
        <f>IF(H$36&lt;=$C49,MAX(H24-G24,0),
MAX(H24-G24,0)+IF(H24&gt;=INDEX($D47:H47,1,MATCH(H$36-$C49,$D$36:H$36)),INDEX($D49:H49,1,MATCH(H$36-$C49,$D$36:H$36)),H24))</f>
        <v>0</v>
      </c>
      <c r="I49" s="22">
        <f>IF(I$36&lt;=$C49,MAX(I24-H24,0),
MAX(I24-H24,0)+IF(I24&gt;=INDEX($D47:I47,1,MATCH(I$36-$C49,$D$36:I$36)),INDEX($D49:I49,1,MATCH(I$36-$C49,$D$36:I$36)),I24))</f>
        <v>2</v>
      </c>
      <c r="J49" s="22">
        <f>IF(J$36&lt;=$C49,MAX(J24-I24,0),
MAX(J24-I24,0)+IF(J24&gt;=INDEX($D47:J47,1,MATCH(J$36-$C49,$D$36:J$36)),INDEX($D49:J49,1,MATCH(J$36-$C49,$D$36:J$36)),J24))</f>
        <v>0</v>
      </c>
      <c r="K49" s="22">
        <f>IF(K$36&lt;=$C49,MAX(K24-J24,0),
MAX(K24-J24,0)+IF(K24&gt;=INDEX($D47:K47,1,MATCH(K$36-$C49,$D$36:K$36)),INDEX($D49:K49,1,MATCH(K$36-$C49,$D$36:K$36)),K24))</f>
        <v>2</v>
      </c>
      <c r="L49" s="22">
        <f>IF(L$36&lt;=$C49,MAX(L24-K24,0),
MAX(L24-K24,0)+IF(L24&gt;=INDEX($D47:L47,1,MATCH(L$36-$C49,$D$36:L$36)),INDEX($D49:L49,1,MATCH(L$36-$C49,$D$36:L$36)),L24))</f>
        <v>144</v>
      </c>
      <c r="M49" s="22">
        <f>IF(M$36&lt;=$C49,MAX(M24-L24,0),
MAX(M24-L24,0)+IF(M24&gt;=INDEX($D47:M47,1,MATCH(M$36-$C49,$D$36:M$36)),INDEX($D49:M49,1,MATCH(M$36-$C49,$D$36:M$36)),M24))</f>
        <v>2</v>
      </c>
      <c r="N49" s="22">
        <f>IF(N$36&lt;=$C49,MAX(N24-M24,0),
MAX(N24-M24,0)+IF(N24&gt;=INDEX($D47:N47,1,MATCH(N$36-$C49,$D$36:N$36)),INDEX($D49:N49,1,MATCH(N$36-$C49,$D$36:N$36)),N24))</f>
        <v>8</v>
      </c>
      <c r="O49" s="22">
        <f>IF(O$36&lt;=$C49,MAX(O24-N24,0),
MAX(O24-N24,0)+IF(O24&gt;=INDEX($D47:O47,1,MATCH(O$36-$C49,$D$36:O$36)),INDEX($D49:O49,1,MATCH(O$36-$C49,$D$36:O$36)),O24))</f>
        <v>0</v>
      </c>
      <c r="P49" s="22">
        <f>IF(P$36&lt;=$C49,MAX(P24-O24,0),
MAX(P24-O24,0)+IF(P24&gt;=INDEX($D47:P47,1,MATCH(P$36-$C49,$D$36:P$36)),INDEX($D49:P49,1,MATCH(P$36-$C49,$D$36:P$36)),P24))</f>
        <v>0</v>
      </c>
      <c r="Q49" s="22">
        <f>IF(Q$36&lt;=$C49,MAX(Q24-P24,0),
MAX(Q24-P24,0)+IF(Q24&gt;=INDEX($D47:Q47,1,MATCH(Q$36-$C49,$D$36:Q$36)),INDEX($D49:Q49,1,MATCH(Q$36-$C49,$D$36:Q$36)),Q24))</f>
        <v>4</v>
      </c>
      <c r="R49" s="22">
        <f>IF(R$36&lt;=$C49,MAX(R24-Q24,0),
MAX(R24-Q24,0)+IF(R24&gt;=INDEX($D47:R47,1,MATCH(R$36-$C49,$D$36:R$36)),INDEX($D49:R49,1,MATCH(R$36-$C49,$D$36:R$36)),R24))</f>
        <v>0</v>
      </c>
      <c r="S49" s="22">
        <f>IF(S$36&lt;=$C49,MAX(S24-R24,0),
MAX(S24-R24,0)+IF(S24&gt;=INDEX($D47:S47,1,MATCH(S$36-$C49,$D$36:S$36)),INDEX($D49:S49,1,MATCH(S$36-$C49,$D$36:S$36)),S24))</f>
        <v>4</v>
      </c>
      <c r="T49" s="22">
        <f>IF(T$36&lt;=$C49,MAX(T24-S24,0),
MAX(T24-S24,0)+IF(T24&gt;=INDEX($D47:T47,1,MATCH(T$36-$C49,$D$36:T$36)),INDEX($D49:T49,1,MATCH(T$36-$C49,$D$36:T$36)),T24))</f>
        <v>144</v>
      </c>
      <c r="U49" s="22">
        <f>IF(U$36&lt;=$C49,MAX(U24-T24,0),
MAX(U24-T24,0)+IF(U24&gt;=INDEX($D47:U47,1,MATCH(U$36-$C49,$D$36:U$36)),INDEX($D49:U49,1,MATCH(U$36-$C49,$D$36:U$36)),U24))</f>
        <v>2</v>
      </c>
      <c r="V49" s="22">
        <f>IF(V$36&lt;=$C49,MAX(V24-U24,0),
MAX(V24-U24,0)+IF(V24&gt;=INDEX($D47:V47,1,MATCH(V$36-$C49,$D$36:V$36)),INDEX($D49:V49,1,MATCH(V$36-$C49,$D$36:V$36)),V24))</f>
        <v>10</v>
      </c>
      <c r="W49" s="22">
        <f>IF(W$36&lt;=$C49,MAX(W24-V24,0),
MAX(W24-V24,0)+IF(W24&gt;=INDEX($D47:W47,1,MATCH(W$36-$C49,$D$36:W$36)),INDEX($D49:W49,1,MATCH(W$36-$C49,$D$36:W$36)),W24))</f>
        <v>0</v>
      </c>
      <c r="Z49" s="22">
        <f t="shared" si="1"/>
        <v>68</v>
      </c>
      <c r="AA49" s="22">
        <f>IF(AA$36&lt;=$C49,AA24-Z24,
AA24-Z24+INDEX($Z49:AA49,1,MATCH(AA$36-$C49,$Z$36:AA$36)))</f>
        <v>-2</v>
      </c>
      <c r="AB49" s="22">
        <f>IF(AB$36&lt;=$C49,AB24-AA24,
AB24-AA24+INDEX($Z49:AB49,1,MATCH(AB$36-$C49,$Z$36:AB$36)))</f>
        <v>-4</v>
      </c>
      <c r="AC49" s="22">
        <f>IF(AC$36&lt;=$C49,AC24-AB24,
AC24-AB24+INDEX($Z49:AC49,1,MATCH(AC$36-$C49,$Z$36:AC$36)))</f>
        <v>-4</v>
      </c>
      <c r="AD49" s="22">
        <f>IF(AD$36&lt;=$C49,AD24-AC24,
AD24-AC24+INDEX($Z49:AD49,1,MATCH(AD$36-$C49,$Z$36:AD$36)))</f>
        <v>0</v>
      </c>
      <c r="AE49" s="22">
        <f>IF(AE$36&lt;=$C49,AE24-AD24,
AE24-AD24+INDEX($Z49:AE49,1,MATCH(AE$36-$C49,$Z$36:AE$36)))</f>
        <v>0</v>
      </c>
      <c r="AF49" s="22">
        <f>IF(AF$36&lt;=$C49,AF24-AE24,
AF24-AE24+INDEX($Z49:AF49,1,MATCH(AF$36-$C49,$Z$36:AF$36)))</f>
        <v>0</v>
      </c>
      <c r="AG49" s="22">
        <f>IF(AG$36&lt;=$C49,AG24-AF24,
AG24-AF24+INDEX($Z49:AG49,1,MATCH(AG$36-$C49,$Z$36:AG$36)))</f>
        <v>0</v>
      </c>
      <c r="AH49" s="22">
        <f>IF(AH$36&lt;=$C49,AH24-AG24,
AH24-AG24+INDEX($Z49:AH49,1,MATCH(AH$36-$C49,$Z$36:AH$36)))</f>
        <v>68</v>
      </c>
      <c r="AI49" s="22">
        <f>IF(AI$36&lt;=$C49,AI24-AH24,
AI24-AH24+INDEX($Z49:AI49,1,MATCH(AI$36-$C49,$Z$36:AI$36)))</f>
        <v>-2</v>
      </c>
      <c r="AJ49" s="22">
        <f>IF(AJ$36&lt;=$C49,AJ24-AI24,
AJ24-AI24+INDEX($Z49:AJ49,1,MATCH(AJ$36-$C49,$Z$36:AJ$36)))</f>
        <v>-2</v>
      </c>
      <c r="AK49" s="22">
        <f>IF(AK$36&lt;=$C49,AK24-AJ24,
AK24-AJ24+INDEX($Z49:AK49,1,MATCH(AK$36-$C49,$Z$36:AK$36)))</f>
        <v>-4</v>
      </c>
      <c r="AL49" s="22">
        <f>IF(AL$36&lt;=$C49,AL24-AK24,
AL24-AK24+INDEX($Z49:AL49,1,MATCH(AL$36-$C49,$Z$36:AL$36)))</f>
        <v>0</v>
      </c>
      <c r="AM49" s="22">
        <f>IF(AM$36&lt;=$C49,AM24-AL24,
AM24-AL24+INDEX($Z49:AM49,1,MATCH(AM$36-$C49,$Z$36:AM$36)))</f>
        <v>0</v>
      </c>
      <c r="AN49" s="22">
        <f>IF(AN$36&lt;=$C49,AN24-AM24,
AN24-AM24+INDEX($Z49:AN49,1,MATCH(AN$36-$C49,$Z$36:AN$36)))</f>
        <v>0</v>
      </c>
      <c r="AO49" s="22">
        <f>IF(AO$36&lt;=$C49,AO24-AN24,
AO24-AN24+INDEX($Z49:AO49,1,MATCH(AO$36-$C49,$Z$36:AO$36)))</f>
        <v>0</v>
      </c>
      <c r="AP49" s="22">
        <f>IF(AP$36&lt;=$C49,AP24-AO24,
AP24-AO24+INDEX($Z49:AP49,1,MATCH(AP$36-$C49,$Z$36:AP$36)))</f>
        <v>70</v>
      </c>
      <c r="AQ49" s="22">
        <f>IF(AQ$36&lt;=$C49,AQ24-AP24,
AQ24-AP24+INDEX($Z49:AQ49,1,MATCH(AQ$36-$C49,$Z$36:AQ$36)))</f>
        <v>-2</v>
      </c>
      <c r="AR49" s="22">
        <f>IF(AR$36&lt;=$C49,AR24-AQ24,
AR24-AQ24+INDEX($Z49:AR49,1,MATCH(AR$36-$C49,$Z$36:AR$36)))</f>
        <v>-2</v>
      </c>
      <c r="AS49" s="22">
        <f>IF(AS$36&lt;=$C49,AS24-AR24,
AS24-AR24+INDEX($Z49:AS49,1,MATCH(AS$36-$C49,$Z$36:AS$36)))</f>
        <v>-4</v>
      </c>
    </row>
    <row r="50" spans="1:46" x14ac:dyDescent="0.25">
      <c r="A50" s="8" t="str">
        <v>Access session border controller - hardware</v>
      </c>
      <c r="C50" s="11">
        <v>8</v>
      </c>
      <c r="D50" s="22">
        <f t="shared" si="0"/>
        <v>14</v>
      </c>
      <c r="E50" s="22">
        <f>IF(E$36&lt;=$C50,MAX(E25-D25,0),
MAX(E25-D25,0)+IF(E25&gt;=INDEX($D48:E48,1,MATCH(E$36-$C50,$D$36:E$36)),INDEX($D50:E50,1,MATCH(E$36-$C50,$D$36:E$36)),E25))</f>
        <v>0</v>
      </c>
      <c r="F50" s="22">
        <f>IF(F$36&lt;=$C50,MAX(F25-E25,0),
MAX(F25-E25,0)+IF(F25&gt;=INDEX($D48:F48,1,MATCH(F$36-$C50,$D$36:F$36)),INDEX($D50:F50,1,MATCH(F$36-$C50,$D$36:F$36)),F25))</f>
        <v>0</v>
      </c>
      <c r="G50" s="22">
        <f>IF(G$36&lt;=$C50,MAX(G25-F25,0),
MAX(G25-F25,0)+IF(G25&gt;=INDEX($D48:G48,1,MATCH(G$36-$C50,$D$36:G$36)),INDEX($D50:G50,1,MATCH(G$36-$C50,$D$36:G$36)),G25))</f>
        <v>0</v>
      </c>
      <c r="H50" s="22">
        <f>IF(H$36&lt;=$C50,MAX(H25-G25,0),
MAX(H25-G25,0)+IF(H25&gt;=INDEX($D48:H48,1,MATCH(H$36-$C50,$D$36:H$36)),INDEX($D50:H50,1,MATCH(H$36-$C50,$D$36:H$36)),H25))</f>
        <v>0</v>
      </c>
      <c r="I50" s="22">
        <f>IF(I$36&lt;=$C50,MAX(I25-H25,0),
MAX(I25-H25,0)+IF(I25&gt;=INDEX($D48:I48,1,MATCH(I$36-$C50,$D$36:I$36)),INDEX($D50:I50,1,MATCH(I$36-$C50,$D$36:I$36)),I25))</f>
        <v>0</v>
      </c>
      <c r="J50" s="22">
        <f>IF(J$36&lt;=$C50,MAX(J25-I25,0),
MAX(J25-I25,0)+IF(J25&gt;=INDEX($D48:J48,1,MATCH(J$36-$C50,$D$36:J$36)),INDEX($D50:J50,1,MATCH(J$36-$C50,$D$36:J$36)),J25))</f>
        <v>0</v>
      </c>
      <c r="K50" s="22">
        <f>IF(K$36&lt;=$C50,MAX(K25-J25,0),
MAX(K25-J25,0)+IF(K25&gt;=INDEX($D48:K48,1,MATCH(K$36-$C50,$D$36:K$36)),INDEX($D50:K50,1,MATCH(K$36-$C50,$D$36:K$36)),K25))</f>
        <v>0</v>
      </c>
      <c r="L50" s="22">
        <f>IF(L$36&lt;=$C50,MAX(L25-K25,0),
MAX(L25-K25,0)+IF(L25&gt;=INDEX($D48:L48,1,MATCH(L$36-$C50,$D$36:L$36)),INDEX($D50:L50,1,MATCH(L$36-$C50,$D$36:L$36)),L25))</f>
        <v>14</v>
      </c>
      <c r="M50" s="22">
        <f>IF(M$36&lt;=$C50,MAX(M25-L25,0),
MAX(M25-L25,0)+IF(M25&gt;=INDEX($D48:M48,1,MATCH(M$36-$C50,$D$36:M$36)),INDEX($D50:M50,1,MATCH(M$36-$C50,$D$36:M$36)),M25))</f>
        <v>0</v>
      </c>
      <c r="N50" s="22">
        <f>IF(N$36&lt;=$C50,MAX(N25-M25,0),
MAX(N25-M25,0)+IF(N25&gt;=INDEX($D48:N48,1,MATCH(N$36-$C50,$D$36:N$36)),INDEX($D50:N50,1,MATCH(N$36-$C50,$D$36:N$36)),N25))</f>
        <v>0</v>
      </c>
      <c r="O50" s="22">
        <f>IF(O$36&lt;=$C50,MAX(O25-N25,0),
MAX(O25-N25,0)+IF(O25&gt;=INDEX($D48:O48,1,MATCH(O$36-$C50,$D$36:O$36)),INDEX($D50:O50,1,MATCH(O$36-$C50,$D$36:O$36)),O25))</f>
        <v>0</v>
      </c>
      <c r="P50" s="22">
        <f>IF(P$36&lt;=$C50,MAX(P25-O25,0),
MAX(P25-O25,0)+IF(P25&gt;=INDEX($D48:P48,1,MATCH(P$36-$C50,$D$36:P$36)),INDEX($D50:P50,1,MATCH(P$36-$C50,$D$36:P$36)),P25))</f>
        <v>0</v>
      </c>
      <c r="Q50" s="22">
        <f>IF(Q$36&lt;=$C50,MAX(Q25-P25,0),
MAX(Q25-P25,0)+IF(Q25&gt;=INDEX($D48:Q48,1,MATCH(Q$36-$C50,$D$36:Q$36)),INDEX($D50:Q50,1,MATCH(Q$36-$C50,$D$36:Q$36)),Q25))</f>
        <v>0</v>
      </c>
      <c r="R50" s="22">
        <f>IF(R$36&lt;=$C50,MAX(R25-Q25,0),
MAX(R25-Q25,0)+IF(R25&gt;=INDEX($D48:R48,1,MATCH(R$36-$C50,$D$36:R$36)),INDEX($D50:R50,1,MATCH(R$36-$C50,$D$36:R$36)),R25))</f>
        <v>0</v>
      </c>
      <c r="S50" s="22">
        <f>IF(S$36&lt;=$C50,MAX(S25-R25,0),
MAX(S25-R25,0)+IF(S25&gt;=INDEX($D48:S48,1,MATCH(S$36-$C50,$D$36:S$36)),INDEX($D50:S50,1,MATCH(S$36-$C50,$D$36:S$36)),S25))</f>
        <v>0</v>
      </c>
      <c r="T50" s="22">
        <f>IF(T$36&lt;=$C50,MAX(T25-S25,0),
MAX(T25-S25,0)+IF(T25&gt;=INDEX($D48:T48,1,MATCH(T$36-$C50,$D$36:T$36)),INDEX($D50:T50,1,MATCH(T$36-$C50,$D$36:T$36)),T25))</f>
        <v>14</v>
      </c>
      <c r="U50" s="22">
        <f>IF(U$36&lt;=$C50,MAX(U25-T25,0),
MAX(U25-T25,0)+IF(U25&gt;=INDEX($D48:U48,1,MATCH(U$36-$C50,$D$36:U$36)),INDEX($D50:U50,1,MATCH(U$36-$C50,$D$36:U$36)),U25))</f>
        <v>0</v>
      </c>
      <c r="V50" s="22">
        <f>IF(V$36&lt;=$C50,MAX(V25-U25,0),
MAX(V25-U25,0)+IF(V25&gt;=INDEX($D48:V48,1,MATCH(V$36-$C50,$D$36:V$36)),INDEX($D50:V50,1,MATCH(V$36-$C50,$D$36:V$36)),V25))</f>
        <v>0</v>
      </c>
      <c r="W50" s="22">
        <f>IF(W$36&lt;=$C50,MAX(W25-V25,0),
MAX(W25-V25,0)+IF(W25&gt;=INDEX($D48:W48,1,MATCH(W$36-$C50,$D$36:W$36)),INDEX($D50:W50,1,MATCH(W$36-$C50,$D$36:W$36)),W25))</f>
        <v>0</v>
      </c>
      <c r="Z50" s="22">
        <f t="shared" si="1"/>
        <v>6</v>
      </c>
      <c r="AA50" s="22">
        <f>IF(AA$36&lt;=$C50,AA25-Z25,
AA25-Z25+INDEX($Z50:AA50,1,MATCH(AA$36-$C50,$Z$36:AA$36)))</f>
        <v>0</v>
      </c>
      <c r="AB50" s="22">
        <f>IF(AB$36&lt;=$C50,AB25-AA25,
AB25-AA25+INDEX($Z50:AB50,1,MATCH(AB$36-$C50,$Z$36:AB$36)))</f>
        <v>0</v>
      </c>
      <c r="AC50" s="22">
        <f>IF(AC$36&lt;=$C50,AC25-AB25,
AC25-AB25+INDEX($Z50:AC50,1,MATCH(AC$36-$C50,$Z$36:AC$36)))</f>
        <v>0</v>
      </c>
      <c r="AD50" s="22">
        <f>IF(AD$36&lt;=$C50,AD25-AC25,
AD25-AC25+INDEX($Z50:AD50,1,MATCH(AD$36-$C50,$Z$36:AD$36)))</f>
        <v>0</v>
      </c>
      <c r="AE50" s="22">
        <f>IF(AE$36&lt;=$C50,AE25-AD25,
AE25-AD25+INDEX($Z50:AE50,1,MATCH(AE$36-$C50,$Z$36:AE$36)))</f>
        <v>0</v>
      </c>
      <c r="AF50" s="22">
        <f>IF(AF$36&lt;=$C50,AF25-AE25,
AF25-AE25+INDEX($Z50:AF50,1,MATCH(AF$36-$C50,$Z$36:AF$36)))</f>
        <v>0</v>
      </c>
      <c r="AG50" s="22">
        <f>IF(AG$36&lt;=$C50,AG25-AF25,
AG25-AF25+INDEX($Z50:AG50,1,MATCH(AG$36-$C50,$Z$36:AG$36)))</f>
        <v>0</v>
      </c>
      <c r="AH50" s="22">
        <f>IF(AH$36&lt;=$C50,AH25-AG25,
AH25-AG25+INDEX($Z50:AH50,1,MATCH(AH$36-$C50,$Z$36:AH$36)))</f>
        <v>6</v>
      </c>
      <c r="AI50" s="22">
        <f>IF(AI$36&lt;=$C50,AI25-AH25,
AI25-AH25+INDEX($Z50:AI50,1,MATCH(AI$36-$C50,$Z$36:AI$36)))</f>
        <v>0</v>
      </c>
      <c r="AJ50" s="22">
        <f>IF(AJ$36&lt;=$C50,AJ25-AI25,
AJ25-AI25+INDEX($Z50:AJ50,1,MATCH(AJ$36-$C50,$Z$36:AJ$36)))</f>
        <v>0</v>
      </c>
      <c r="AK50" s="22">
        <f>IF(AK$36&lt;=$C50,AK25-AJ25,
AK25-AJ25+INDEX($Z50:AK50,1,MATCH(AK$36-$C50,$Z$36:AK$36)))</f>
        <v>0</v>
      </c>
      <c r="AL50" s="22">
        <f>IF(AL$36&lt;=$C50,AL25-AK25,
AL25-AK25+INDEX($Z50:AL50,1,MATCH(AL$36-$C50,$Z$36:AL$36)))</f>
        <v>0</v>
      </c>
      <c r="AM50" s="22">
        <f>IF(AM$36&lt;=$C50,AM25-AL25,
AM25-AL25+INDEX($Z50:AM50,1,MATCH(AM$36-$C50,$Z$36:AM$36)))</f>
        <v>0</v>
      </c>
      <c r="AN50" s="22">
        <f>IF(AN$36&lt;=$C50,AN25-AM25,
AN25-AM25+INDEX($Z50:AN50,1,MATCH(AN$36-$C50,$Z$36:AN$36)))</f>
        <v>0</v>
      </c>
      <c r="AO50" s="22">
        <f>IF(AO$36&lt;=$C50,AO25-AN25,
AO25-AN25+INDEX($Z50:AO50,1,MATCH(AO$36-$C50,$Z$36:AO$36)))</f>
        <v>0</v>
      </c>
      <c r="AP50" s="22">
        <f>IF(AP$36&lt;=$C50,AP25-AO25,
AP25-AO25+INDEX($Z50:AP50,1,MATCH(AP$36-$C50,$Z$36:AP$36)))</f>
        <v>6</v>
      </c>
      <c r="AQ50" s="22">
        <f>IF(AQ$36&lt;=$C50,AQ25-AP25,
AQ25-AP25+INDEX($Z50:AQ50,1,MATCH(AQ$36-$C50,$Z$36:AQ$36)))</f>
        <v>0</v>
      </c>
      <c r="AR50" s="22">
        <f>IF(AR$36&lt;=$C50,AR25-AQ25,
AR25-AQ25+INDEX($Z50:AR50,1,MATCH(AR$36-$C50,$Z$36:AR$36)))</f>
        <v>0</v>
      </c>
      <c r="AS50" s="22">
        <f>IF(AS$36&lt;=$C50,AS25-AR25,
AS25-AR25+INDEX($Z50:AS50,1,MATCH(AS$36-$C50,$Z$36:AS$36)))</f>
        <v>0</v>
      </c>
    </row>
    <row r="51" spans="1:46" x14ac:dyDescent="0.25">
      <c r="A51" s="8" t="str">
        <v>Access session border controller - software</v>
      </c>
      <c r="C51" s="11">
        <v>8</v>
      </c>
      <c r="D51" s="22">
        <f t="shared" si="0"/>
        <v>126</v>
      </c>
      <c r="E51" s="22">
        <f>IF(E$36&lt;=$C51,MAX(E26-D26,0),
MAX(E26-D26,0)+IF(E26&gt;=INDEX($D49:E49,1,MATCH(E$36-$C51,$D$36:E$36)),INDEX($D51:E51,1,MATCH(E$36-$C51,$D$36:E$36)),E26))</f>
        <v>2</v>
      </c>
      <c r="F51" s="22">
        <f>IF(F$36&lt;=$C51,MAX(F26-E26,0),
MAX(F26-E26,0)+IF(F26&gt;=INDEX($D49:F49,1,MATCH(F$36-$C51,$D$36:F$36)),INDEX($D51:F51,1,MATCH(F$36-$C51,$D$36:F$36)),F26))</f>
        <v>6</v>
      </c>
      <c r="G51" s="22">
        <f>IF(G$36&lt;=$C51,MAX(G26-F26,0),
MAX(G26-F26,0)+IF(G26&gt;=INDEX($D49:G49,1,MATCH(G$36-$C51,$D$36:G$36)),INDEX($D51:G51,1,MATCH(G$36-$C51,$D$36:G$36)),G26))</f>
        <v>0</v>
      </c>
      <c r="H51" s="22">
        <f>IF(H$36&lt;=$C51,MAX(H26-G26,0),
MAX(H26-G26,0)+IF(H26&gt;=INDEX($D49:H49,1,MATCH(H$36-$C51,$D$36:H$36)),INDEX($D51:H51,1,MATCH(H$36-$C51,$D$36:H$36)),H26))</f>
        <v>0</v>
      </c>
      <c r="I51" s="22">
        <f>IF(I$36&lt;=$C51,MAX(I26-H26,0),
MAX(I26-H26,0)+IF(I26&gt;=INDEX($D49:I49,1,MATCH(I$36-$C51,$D$36:I$36)),INDEX($D51:I51,1,MATCH(I$36-$C51,$D$36:I$36)),I26))</f>
        <v>2</v>
      </c>
      <c r="J51" s="22">
        <f>IF(J$36&lt;=$C51,MAX(J26-I26,0),
MAX(J26-I26,0)+IF(J26&gt;=INDEX($D49:J49,1,MATCH(J$36-$C51,$D$36:J$36)),INDEX($D51:J51,1,MATCH(J$36-$C51,$D$36:J$36)),J26))</f>
        <v>0</v>
      </c>
      <c r="K51" s="22">
        <f>IF(K$36&lt;=$C51,MAX(K26-J26,0),
MAX(K26-J26,0)+IF(K26&gt;=INDEX($D49:K49,1,MATCH(K$36-$C51,$D$36:K$36)),INDEX($D51:K51,1,MATCH(K$36-$C51,$D$36:K$36)),K26))</f>
        <v>0</v>
      </c>
      <c r="L51" s="22">
        <f>IF(L$36&lt;=$C51,MAX(L26-K26,0),
MAX(L26-K26,0)+IF(L26&gt;=INDEX($D49:L49,1,MATCH(L$36-$C51,$D$36:L$36)),INDEX($D51:L51,1,MATCH(L$36-$C51,$D$36:L$36)),L26))</f>
        <v>136</v>
      </c>
      <c r="M51" s="22">
        <f>IF(M$36&lt;=$C51,MAX(M26-L26,0),
MAX(M26-L26,0)+IF(M26&gt;=INDEX($D49:M49,1,MATCH(M$36-$C51,$D$36:M$36)),INDEX($D51:M51,1,MATCH(M$36-$C51,$D$36:M$36)),M26))</f>
        <v>2</v>
      </c>
      <c r="N51" s="22">
        <f>IF(N$36&lt;=$C51,MAX(N26-M26,0),
MAX(N26-M26,0)+IF(N26&gt;=INDEX($D49:N49,1,MATCH(N$36-$C51,$D$36:N$36)),INDEX($D51:N51,1,MATCH(N$36-$C51,$D$36:N$36)),N26))</f>
        <v>6</v>
      </c>
      <c r="O51" s="22">
        <f>IF(O$36&lt;=$C51,MAX(O26-N26,0),
MAX(O26-N26,0)+IF(O26&gt;=INDEX($D49:O49,1,MATCH(O$36-$C51,$D$36:O$36)),INDEX($D51:O51,1,MATCH(O$36-$C51,$D$36:O$36)),O26))</f>
        <v>2</v>
      </c>
      <c r="P51" s="22">
        <f>IF(P$36&lt;=$C51,MAX(P26-O26,0),
MAX(P26-O26,0)+IF(P26&gt;=INDEX($D49:P49,1,MATCH(P$36-$C51,$D$36:P$36)),INDEX($D51:P51,1,MATCH(P$36-$C51,$D$36:P$36)),P26))</f>
        <v>0</v>
      </c>
      <c r="Q51" s="22">
        <f>IF(Q$36&lt;=$C51,MAX(Q26-P26,0),
MAX(Q26-P26,0)+IF(Q26&gt;=INDEX($D49:Q49,1,MATCH(Q$36-$C51,$D$36:Q$36)),INDEX($D51:Q51,1,MATCH(Q$36-$C51,$D$36:Q$36)),Q26))</f>
        <v>2</v>
      </c>
      <c r="R51" s="22">
        <f>IF(R$36&lt;=$C51,MAX(R26-Q26,0),
MAX(R26-Q26,0)+IF(R26&gt;=INDEX($D49:R49,1,MATCH(R$36-$C51,$D$36:R$36)),INDEX($D51:R51,1,MATCH(R$36-$C51,$D$36:R$36)),R26))</f>
        <v>2</v>
      </c>
      <c r="S51" s="22">
        <f>IF(S$36&lt;=$C51,MAX(S26-R26,0),
MAX(S26-R26,0)+IF(S26&gt;=INDEX($D49:S49,1,MATCH(S$36-$C51,$D$36:S$36)),INDEX($D51:S51,1,MATCH(S$36-$C51,$D$36:S$36)),S26))</f>
        <v>0</v>
      </c>
      <c r="T51" s="22">
        <f>IF(T$36&lt;=$C51,MAX(T26-S26,0),
MAX(T26-S26,0)+IF(T26&gt;=INDEX($D49:T49,1,MATCH(T$36-$C51,$D$36:T$36)),INDEX($D51:T51,1,MATCH(T$36-$C51,$D$36:T$36)),T26))</f>
        <v>138</v>
      </c>
      <c r="U51" s="22">
        <f>IF(U$36&lt;=$C51,MAX(U26-T26,0),
MAX(U26-T26,0)+IF(U26&gt;=INDEX($D49:U49,1,MATCH(U$36-$C51,$D$36:U$36)),INDEX($D51:U51,1,MATCH(U$36-$C51,$D$36:U$36)),U26))</f>
        <v>4</v>
      </c>
      <c r="V51" s="22">
        <f>IF(V$36&lt;=$C51,MAX(V26-U26,0),
MAX(V26-U26,0)+IF(V26&gt;=INDEX($D49:V49,1,MATCH(V$36-$C51,$D$36:V$36)),INDEX($D51:V51,1,MATCH(V$36-$C51,$D$36:V$36)),V26))</f>
        <v>6</v>
      </c>
      <c r="W51" s="22">
        <f>IF(W$36&lt;=$C51,MAX(W26-V26,0),
MAX(W26-V26,0)+IF(W26&gt;=INDEX($D49:W49,1,MATCH(W$36-$C51,$D$36:W$36)),INDEX($D51:W51,1,MATCH(W$36-$C51,$D$36:W$36)),W26))</f>
        <v>2</v>
      </c>
      <c r="Z51" s="22">
        <f t="shared" si="1"/>
        <v>60</v>
      </c>
      <c r="AA51" s="22">
        <f>IF(AA$36&lt;=$C51,AA26-Z26,
AA26-Z26+INDEX($Z51:AA51,1,MATCH(AA$36-$C51,$Z$36:AA$36)))</f>
        <v>-2</v>
      </c>
      <c r="AB51" s="22">
        <f>IF(AB$36&lt;=$C51,AB26-AA26,
AB26-AA26+INDEX($Z51:AB51,1,MATCH(AB$36-$C51,$Z$36:AB$36)))</f>
        <v>-4</v>
      </c>
      <c r="AC51" s="22">
        <f>IF(AC$36&lt;=$C51,AC26-AB26,
AC26-AB26+INDEX($Z51:AC51,1,MATCH(AC$36-$C51,$Z$36:AC$36)))</f>
        <v>-4</v>
      </c>
      <c r="AD51" s="22">
        <f>IF(AD$36&lt;=$C51,AD26-AC26,
AD26-AC26+INDEX($Z51:AD51,1,MATCH(AD$36-$C51,$Z$36:AD$36)))</f>
        <v>0</v>
      </c>
      <c r="AE51" s="22">
        <f>IF(AE$36&lt;=$C51,AE26-AD26,
AE26-AD26+INDEX($Z51:AE51,1,MATCH(AE$36-$C51,$Z$36:AE$36)))</f>
        <v>0</v>
      </c>
      <c r="AF51" s="22">
        <f>IF(AF$36&lt;=$C51,AF26-AE26,
AF26-AE26+INDEX($Z51:AF51,1,MATCH(AF$36-$C51,$Z$36:AF$36)))</f>
        <v>0</v>
      </c>
      <c r="AG51" s="22">
        <f>IF(AG$36&lt;=$C51,AG26-AF26,
AG26-AF26+INDEX($Z51:AG51,1,MATCH(AG$36-$C51,$Z$36:AG$36)))</f>
        <v>2</v>
      </c>
      <c r="AH51" s="22">
        <f>IF(AH$36&lt;=$C51,AH26-AG26,
AH26-AG26+INDEX($Z51:AH51,1,MATCH(AH$36-$C51,$Z$36:AH$36)))</f>
        <v>60</v>
      </c>
      <c r="AI51" s="22">
        <f>IF(AI$36&lt;=$C51,AI26-AH26,
AI26-AH26+INDEX($Z51:AI51,1,MATCH(AI$36-$C51,$Z$36:AI$36)))</f>
        <v>-2</v>
      </c>
      <c r="AJ51" s="22">
        <f>IF(AJ$36&lt;=$C51,AJ26-AI26,
AJ26-AI26+INDEX($Z51:AJ51,1,MATCH(AJ$36-$C51,$Z$36:AJ$36)))</f>
        <v>-4</v>
      </c>
      <c r="AK51" s="22">
        <f>IF(AK$36&lt;=$C51,AK26-AJ26,
AK26-AJ26+INDEX($Z51:AK51,1,MATCH(AK$36-$C51,$Z$36:AK$36)))</f>
        <v>-4</v>
      </c>
      <c r="AL51" s="22">
        <f>IF(AL$36&lt;=$C51,AL26-AK26,
AL26-AK26+INDEX($Z51:AL51,1,MATCH(AL$36-$C51,$Z$36:AL$36)))</f>
        <v>0</v>
      </c>
      <c r="AM51" s="22">
        <f>IF(AM$36&lt;=$C51,AM26-AL26,
AM26-AL26+INDEX($Z51:AM51,1,MATCH(AM$36-$C51,$Z$36:AM$36)))</f>
        <v>0</v>
      </c>
      <c r="AN51" s="22">
        <f>IF(AN$36&lt;=$C51,AN26-AM26,
AN26-AM26+INDEX($Z51:AN51,1,MATCH(AN$36-$C51,$Z$36:AN$36)))</f>
        <v>0</v>
      </c>
      <c r="AO51" s="22">
        <f>IF(AO$36&lt;=$C51,AO26-AN26,
AO26-AN26+INDEX($Z51:AO51,1,MATCH(AO$36-$C51,$Z$36:AO$36)))</f>
        <v>4</v>
      </c>
      <c r="AP51" s="22">
        <f>IF(AP$36&lt;=$C51,AP26-AO26,
AP26-AO26+INDEX($Z51:AP51,1,MATCH(AP$36-$C51,$Z$36:AP$36)))</f>
        <v>60</v>
      </c>
      <c r="AQ51" s="22">
        <f>IF(AQ$36&lt;=$C51,AQ26-AP26,
AQ26-AP26+INDEX($Z51:AQ51,1,MATCH(AQ$36-$C51,$Z$36:AQ$36)))</f>
        <v>-2</v>
      </c>
      <c r="AR51" s="22">
        <f>IF(AR$36&lt;=$C51,AR26-AQ26,
AR26-AQ26+INDEX($Z51:AR51,1,MATCH(AR$36-$C51,$Z$36:AR$36)))</f>
        <v>-4</v>
      </c>
      <c r="AS51" s="22">
        <f>IF(AS$36&lt;=$C51,AS26-AR26,
AS26-AR26+INDEX($Z51:AS51,1,MATCH(AS$36-$C51,$Z$36:AS$36)))</f>
        <v>-4</v>
      </c>
    </row>
    <row r="52" spans="1:46" x14ac:dyDescent="0.25">
      <c r="A52" s="8" t="str">
        <v>Internet exchange point session border controller - hardware</v>
      </c>
      <c r="C52" s="11">
        <v>8</v>
      </c>
      <c r="D52" s="22">
        <f t="shared" si="0"/>
        <v>12</v>
      </c>
      <c r="E52" s="22">
        <f>IF(E$36&lt;=$C52,MAX(E27-D27,0),
MAX(E27-D27,0)+IF(E27&gt;=INDEX($D50:E50,1,MATCH(E$36-$C52,$D$36:E$36)),INDEX($D52:E52,1,MATCH(E$36-$C52,$D$36:E$36)),E27))</f>
        <v>0</v>
      </c>
      <c r="F52" s="22">
        <f>IF(F$36&lt;=$C52,MAX(F27-E27,0),
MAX(F27-E27,0)+IF(F27&gt;=INDEX($D50:F50,1,MATCH(F$36-$C52,$D$36:F$36)),INDEX($D52:F52,1,MATCH(F$36-$C52,$D$36:F$36)),F27))</f>
        <v>0</v>
      </c>
      <c r="G52" s="22">
        <f>IF(G$36&lt;=$C52,MAX(G27-F27,0),
MAX(G27-F27,0)+IF(G27&gt;=INDEX($D50:G50,1,MATCH(G$36-$C52,$D$36:G$36)),INDEX($D52:G52,1,MATCH(G$36-$C52,$D$36:G$36)),G27))</f>
        <v>0</v>
      </c>
      <c r="H52" s="22">
        <f>IF(H$36&lt;=$C52,MAX(H27-G27,0),
MAX(H27-G27,0)+IF(H27&gt;=INDEX($D50:H50,1,MATCH(H$36-$C52,$D$36:H$36)),INDEX($D52:H52,1,MATCH(H$36-$C52,$D$36:H$36)),H27))</f>
        <v>0</v>
      </c>
      <c r="I52" s="22">
        <f>IF(I$36&lt;=$C52,MAX(I27-H27,0),
MAX(I27-H27,0)+IF(I27&gt;=INDEX($D50:I50,1,MATCH(I$36-$C52,$D$36:I$36)),INDEX($D52:I52,1,MATCH(I$36-$C52,$D$36:I$36)),I27))</f>
        <v>0</v>
      </c>
      <c r="J52" s="22">
        <f>IF(J$36&lt;=$C52,MAX(J27-I27,0),
MAX(J27-I27,0)+IF(J27&gt;=INDEX($D50:J50,1,MATCH(J$36-$C52,$D$36:J$36)),INDEX($D52:J52,1,MATCH(J$36-$C52,$D$36:J$36)),J27))</f>
        <v>0</v>
      </c>
      <c r="K52" s="22">
        <f>IF(K$36&lt;=$C52,MAX(K27-J27,0),
MAX(K27-J27,0)+IF(K27&gt;=INDEX($D50:K50,1,MATCH(K$36-$C52,$D$36:K$36)),INDEX($D52:K52,1,MATCH(K$36-$C52,$D$36:K$36)),K27))</f>
        <v>0</v>
      </c>
      <c r="L52" s="22">
        <f>IF(L$36&lt;=$C52,MAX(L27-K27,0),
MAX(L27-K27,0)+IF(L27&gt;=INDEX($D50:L50,1,MATCH(L$36-$C52,$D$36:L$36)),INDEX($D52:L52,1,MATCH(L$36-$C52,$D$36:L$36)),L27))</f>
        <v>12</v>
      </c>
      <c r="M52" s="22">
        <f>IF(M$36&lt;=$C52,MAX(M27-L27,0),
MAX(M27-L27,0)+IF(M27&gt;=INDEX($D50:M50,1,MATCH(M$36-$C52,$D$36:M$36)),INDEX($D52:M52,1,MATCH(M$36-$C52,$D$36:M$36)),M27))</f>
        <v>0</v>
      </c>
      <c r="N52" s="22">
        <f>IF(N$36&lt;=$C52,MAX(N27-M27,0),
MAX(N27-M27,0)+IF(N27&gt;=INDEX($D50:N50,1,MATCH(N$36-$C52,$D$36:N$36)),INDEX($D52:N52,1,MATCH(N$36-$C52,$D$36:N$36)),N27))</f>
        <v>0</v>
      </c>
      <c r="O52" s="22">
        <f>IF(O$36&lt;=$C52,MAX(O27-N27,0),
MAX(O27-N27,0)+IF(O27&gt;=INDEX($D50:O50,1,MATCH(O$36-$C52,$D$36:O$36)),INDEX($D52:O52,1,MATCH(O$36-$C52,$D$36:O$36)),O27))</f>
        <v>0</v>
      </c>
      <c r="P52" s="22">
        <f>IF(P$36&lt;=$C52,MAX(P27-O27,0),
MAX(P27-O27,0)+IF(P27&gt;=INDEX($D50:P50,1,MATCH(P$36-$C52,$D$36:P$36)),INDEX($D52:P52,1,MATCH(P$36-$C52,$D$36:P$36)),P27))</f>
        <v>0</v>
      </c>
      <c r="Q52" s="22">
        <f>IF(Q$36&lt;=$C52,MAX(Q27-P27,0),
MAX(Q27-P27,0)+IF(Q27&gt;=INDEX($D50:Q50,1,MATCH(Q$36-$C52,$D$36:Q$36)),INDEX($D52:Q52,1,MATCH(Q$36-$C52,$D$36:Q$36)),Q27))</f>
        <v>0</v>
      </c>
      <c r="R52" s="22">
        <f>IF(R$36&lt;=$C52,MAX(R27-Q27,0),
MAX(R27-Q27,0)+IF(R27&gt;=INDEX($D50:R50,1,MATCH(R$36-$C52,$D$36:R$36)),INDEX($D52:R52,1,MATCH(R$36-$C52,$D$36:R$36)),R27))</f>
        <v>0</v>
      </c>
      <c r="S52" s="22">
        <f>IF(S$36&lt;=$C52,MAX(S27-R27,0),
MAX(S27-R27,0)+IF(S27&gt;=INDEX($D50:S50,1,MATCH(S$36-$C52,$D$36:S$36)),INDEX($D52:S52,1,MATCH(S$36-$C52,$D$36:S$36)),S27))</f>
        <v>0</v>
      </c>
      <c r="T52" s="22">
        <f>IF(T$36&lt;=$C52,MAX(T27-S27,0),
MAX(T27-S27,0)+IF(T27&gt;=INDEX($D50:T50,1,MATCH(T$36-$C52,$D$36:T$36)),INDEX($D52:T52,1,MATCH(T$36-$C52,$D$36:T$36)),T27))</f>
        <v>12</v>
      </c>
      <c r="U52" s="22">
        <f>IF(U$36&lt;=$C52,MAX(U27-T27,0),
MAX(U27-T27,0)+IF(U27&gt;=INDEX($D50:U50,1,MATCH(U$36-$C52,$D$36:U$36)),INDEX($D52:U52,1,MATCH(U$36-$C52,$D$36:U$36)),U27))</f>
        <v>0</v>
      </c>
      <c r="V52" s="22">
        <f>IF(V$36&lt;=$C52,MAX(V27-U27,0),
MAX(V27-U27,0)+IF(V27&gt;=INDEX($D50:V50,1,MATCH(V$36-$C52,$D$36:V$36)),INDEX($D52:V52,1,MATCH(V$36-$C52,$D$36:V$36)),V27))</f>
        <v>0</v>
      </c>
      <c r="W52" s="22">
        <f>IF(W$36&lt;=$C52,MAX(W27-V27,0),
MAX(W27-V27,0)+IF(W27&gt;=INDEX($D50:W50,1,MATCH(W$36-$C52,$D$36:W$36)),INDEX($D52:W52,1,MATCH(W$36-$C52,$D$36:W$36)),W27))</f>
        <v>0</v>
      </c>
      <c r="Z52" s="22">
        <f t="shared" si="1"/>
        <v>4</v>
      </c>
      <c r="AA52" s="22">
        <f>IF(AA$36&lt;=$C52,AA27-Z27,
AA27-Z27+INDEX($Z52:AA52,1,MATCH(AA$36-$C52,$Z$36:AA$36)))</f>
        <v>0</v>
      </c>
      <c r="AB52" s="22">
        <f>IF(AB$36&lt;=$C52,AB27-AA27,
AB27-AA27+INDEX($Z52:AB52,1,MATCH(AB$36-$C52,$Z$36:AB$36)))</f>
        <v>0</v>
      </c>
      <c r="AC52" s="22">
        <f>IF(AC$36&lt;=$C52,AC27-AB27,
AC27-AB27+INDEX($Z52:AC52,1,MATCH(AC$36-$C52,$Z$36:AC$36)))</f>
        <v>0</v>
      </c>
      <c r="AD52" s="22">
        <f>IF(AD$36&lt;=$C52,AD27-AC27,
AD27-AC27+INDEX($Z52:AD52,1,MATCH(AD$36-$C52,$Z$36:AD$36)))</f>
        <v>0</v>
      </c>
      <c r="AE52" s="22">
        <f>IF(AE$36&lt;=$C52,AE27-AD27,
AE27-AD27+INDEX($Z52:AE52,1,MATCH(AE$36-$C52,$Z$36:AE$36)))</f>
        <v>0</v>
      </c>
      <c r="AF52" s="22">
        <f>IF(AF$36&lt;=$C52,AF27-AE27,
AF27-AE27+INDEX($Z52:AF52,1,MATCH(AF$36-$C52,$Z$36:AF$36)))</f>
        <v>0</v>
      </c>
      <c r="AG52" s="22">
        <f>IF(AG$36&lt;=$C52,AG27-AF27,
AG27-AF27+INDEX($Z52:AG52,1,MATCH(AG$36-$C52,$Z$36:AG$36)))</f>
        <v>0</v>
      </c>
      <c r="AH52" s="22">
        <f>IF(AH$36&lt;=$C52,AH27-AG27,
AH27-AG27+INDEX($Z52:AH52,1,MATCH(AH$36-$C52,$Z$36:AH$36)))</f>
        <v>4</v>
      </c>
      <c r="AI52" s="22">
        <f>IF(AI$36&lt;=$C52,AI27-AH27,
AI27-AH27+INDEX($Z52:AI52,1,MATCH(AI$36-$C52,$Z$36:AI$36)))</f>
        <v>0</v>
      </c>
      <c r="AJ52" s="22">
        <f>IF(AJ$36&lt;=$C52,AJ27-AI27,
AJ27-AI27+INDEX($Z52:AJ52,1,MATCH(AJ$36-$C52,$Z$36:AJ$36)))</f>
        <v>0</v>
      </c>
      <c r="AK52" s="22">
        <f>IF(AK$36&lt;=$C52,AK27-AJ27,
AK27-AJ27+INDEX($Z52:AK52,1,MATCH(AK$36-$C52,$Z$36:AK$36)))</f>
        <v>0</v>
      </c>
      <c r="AL52" s="22">
        <f>IF(AL$36&lt;=$C52,AL27-AK27,
AL27-AK27+INDEX($Z52:AL52,1,MATCH(AL$36-$C52,$Z$36:AL$36)))</f>
        <v>0</v>
      </c>
      <c r="AM52" s="22">
        <f>IF(AM$36&lt;=$C52,AM27-AL27,
AM27-AL27+INDEX($Z52:AM52,1,MATCH(AM$36-$C52,$Z$36:AM$36)))</f>
        <v>0</v>
      </c>
      <c r="AN52" s="22">
        <f>IF(AN$36&lt;=$C52,AN27-AM27,
AN27-AM27+INDEX($Z52:AN52,1,MATCH(AN$36-$C52,$Z$36:AN$36)))</f>
        <v>0</v>
      </c>
      <c r="AO52" s="22">
        <f>IF(AO$36&lt;=$C52,AO27-AN27,
AO27-AN27+INDEX($Z52:AO52,1,MATCH(AO$36-$C52,$Z$36:AO$36)))</f>
        <v>0</v>
      </c>
      <c r="AP52" s="22">
        <f>IF(AP$36&lt;=$C52,AP27-AO27,
AP27-AO27+INDEX($Z52:AP52,1,MATCH(AP$36-$C52,$Z$36:AP$36)))</f>
        <v>4</v>
      </c>
      <c r="AQ52" s="22">
        <f>IF(AQ$36&lt;=$C52,AQ27-AP27,
AQ27-AP27+INDEX($Z52:AQ52,1,MATCH(AQ$36-$C52,$Z$36:AQ$36)))</f>
        <v>0</v>
      </c>
      <c r="AR52" s="22">
        <f>IF(AR$36&lt;=$C52,AR27-AQ27,
AR27-AQ27+INDEX($Z52:AR52,1,MATCH(AR$36-$C52,$Z$36:AR$36)))</f>
        <v>0</v>
      </c>
      <c r="AS52" s="22">
        <f>IF(AS$36&lt;=$C52,AS27-AR27,
AS27-AR27+INDEX($Z52:AS52,1,MATCH(AS$36-$C52,$Z$36:AS$36)))</f>
        <v>0</v>
      </c>
    </row>
    <row r="53" spans="1:46" x14ac:dyDescent="0.25">
      <c r="A53" s="8" t="str">
        <v>Internet exchange point session border controller - software</v>
      </c>
      <c r="C53" s="11">
        <v>8</v>
      </c>
      <c r="D53" s="22">
        <f t="shared" si="0"/>
        <v>22</v>
      </c>
      <c r="E53" s="22">
        <f>IF(E$36&lt;=$C53,MAX(E28-D28,0),
MAX(E28-D28,0)+IF(E28&gt;=INDEX($D51:E51,1,MATCH(E$36-$C53,$D$36:E$36)),INDEX($D53:E53,1,MATCH(E$36-$C53,$D$36:E$36)),E28))</f>
        <v>0</v>
      </c>
      <c r="F53" s="22">
        <f>IF(F$36&lt;=$C53,MAX(F28-E28,0),
MAX(F28-E28,0)+IF(F28&gt;=INDEX($D51:F51,1,MATCH(F$36-$C53,$D$36:F$36)),INDEX($D53:F53,1,MATCH(F$36-$C53,$D$36:F$36)),F28))</f>
        <v>2</v>
      </c>
      <c r="G53" s="22">
        <f>IF(G$36&lt;=$C53,MAX(G28-F28,0),
MAX(G28-F28,0)+IF(G28&gt;=INDEX($D51:G51,1,MATCH(G$36-$C53,$D$36:G$36)),INDEX($D53:G53,1,MATCH(G$36-$C53,$D$36:G$36)),G28))</f>
        <v>0</v>
      </c>
      <c r="H53" s="22">
        <f>IF(H$36&lt;=$C53,MAX(H28-G28,0),
MAX(H28-G28,0)+IF(H28&gt;=INDEX($D51:H51,1,MATCH(H$36-$C53,$D$36:H$36)),INDEX($D53:H53,1,MATCH(H$36-$C53,$D$36:H$36)),H28))</f>
        <v>0</v>
      </c>
      <c r="I53" s="22">
        <f>IF(I$36&lt;=$C53,MAX(I28-H28,0),
MAX(I28-H28,0)+IF(I28&gt;=INDEX($D51:I51,1,MATCH(I$36-$C53,$D$36:I$36)),INDEX($D53:I53,1,MATCH(I$36-$C53,$D$36:I$36)),I28))</f>
        <v>0</v>
      </c>
      <c r="J53" s="22">
        <f>IF(J$36&lt;=$C53,MAX(J28-I28,0),
MAX(J28-I28,0)+IF(J28&gt;=INDEX($D51:J51,1,MATCH(J$36-$C53,$D$36:J$36)),INDEX($D53:J53,1,MATCH(J$36-$C53,$D$36:J$36)),J28))</f>
        <v>0</v>
      </c>
      <c r="K53" s="22">
        <f>IF(K$36&lt;=$C53,MAX(K28-J28,0),
MAX(K28-J28,0)+IF(K28&gt;=INDEX($D51:K51,1,MATCH(K$36-$C53,$D$36:K$36)),INDEX($D53:K53,1,MATCH(K$36-$C53,$D$36:K$36)),K28))</f>
        <v>0</v>
      </c>
      <c r="L53" s="22">
        <f>IF(L$36&lt;=$C53,MAX(L28-K28,0),
MAX(L28-K28,0)+IF(L28&gt;=INDEX($D51:L51,1,MATCH(L$36-$C53,$D$36:L$36)),INDEX($D53:L53,1,MATCH(L$36-$C53,$D$36:L$36)),L28))</f>
        <v>24</v>
      </c>
      <c r="M53" s="22">
        <f>IF(M$36&lt;=$C53,MAX(M28-L28,0),
MAX(M28-L28,0)+IF(M28&gt;=INDEX($D51:M51,1,MATCH(M$36-$C53,$D$36:M$36)),INDEX($D53:M53,1,MATCH(M$36-$C53,$D$36:M$36)),M28))</f>
        <v>0</v>
      </c>
      <c r="N53" s="22">
        <f>IF(N$36&lt;=$C53,MAX(N28-M28,0),
MAX(N28-M28,0)+IF(N28&gt;=INDEX($D51:N51,1,MATCH(N$36-$C53,$D$36:N$36)),INDEX($D53:N53,1,MATCH(N$36-$C53,$D$36:N$36)),N28))</f>
        <v>2</v>
      </c>
      <c r="O53" s="22">
        <f>IF(O$36&lt;=$C53,MAX(O28-N28,0),
MAX(O28-N28,0)+IF(O28&gt;=INDEX($D51:O51,1,MATCH(O$36-$C53,$D$36:O$36)),INDEX($D53:O53,1,MATCH(O$36-$C53,$D$36:O$36)),O28))</f>
        <v>0</v>
      </c>
      <c r="P53" s="22">
        <f>IF(P$36&lt;=$C53,MAX(P28-O28,0),
MAX(P28-O28,0)+IF(P28&gt;=INDEX($D51:P51,1,MATCH(P$36-$C53,$D$36:P$36)),INDEX($D53:P53,1,MATCH(P$36-$C53,$D$36:P$36)),P28))</f>
        <v>0</v>
      </c>
      <c r="Q53" s="22">
        <f>IF(Q$36&lt;=$C53,MAX(Q28-P28,0),
MAX(Q28-P28,0)+IF(Q28&gt;=INDEX($D51:Q51,1,MATCH(Q$36-$C53,$D$36:Q$36)),INDEX($D53:Q53,1,MATCH(Q$36-$C53,$D$36:Q$36)),Q28))</f>
        <v>0</v>
      </c>
      <c r="R53" s="22">
        <f>IF(R$36&lt;=$C53,MAX(R28-Q28,0),
MAX(R28-Q28,0)+IF(R28&gt;=INDEX($D51:R51,1,MATCH(R$36-$C53,$D$36:R$36)),INDEX($D53:R53,1,MATCH(R$36-$C53,$D$36:R$36)),R28))</f>
        <v>0</v>
      </c>
      <c r="S53" s="22">
        <f>IF(S$36&lt;=$C53,MAX(S28-R28,0),
MAX(S28-R28,0)+IF(S28&gt;=INDEX($D51:S51,1,MATCH(S$36-$C53,$D$36:S$36)),INDEX($D53:S53,1,MATCH(S$36-$C53,$D$36:S$36)),S28))</f>
        <v>0</v>
      </c>
      <c r="T53" s="22">
        <f>IF(T$36&lt;=$C53,MAX(T28-S28,0),
MAX(T28-S28,0)+IF(T28&gt;=INDEX($D51:T51,1,MATCH(T$36-$C53,$D$36:T$36)),INDEX($D53:T53,1,MATCH(T$36-$C53,$D$36:T$36)),T28))</f>
        <v>24</v>
      </c>
      <c r="U53" s="22">
        <f>IF(U$36&lt;=$C53,MAX(U28-T28,0),
MAX(U28-T28,0)+IF(U28&gt;=INDEX($D51:U51,1,MATCH(U$36-$C53,$D$36:U$36)),INDEX($D53:U53,1,MATCH(U$36-$C53,$D$36:U$36)),U28))</f>
        <v>0</v>
      </c>
      <c r="V53" s="22">
        <f>IF(V$36&lt;=$C53,MAX(V28-U28,0),
MAX(V28-U28,0)+IF(V28&gt;=INDEX($D51:V51,1,MATCH(V$36-$C53,$D$36:V$36)),INDEX($D53:V53,1,MATCH(V$36-$C53,$D$36:V$36)),V28))</f>
        <v>2</v>
      </c>
      <c r="W53" s="22">
        <f>IF(W$36&lt;=$C53,MAX(W28-V28,0),
MAX(W28-V28,0)+IF(W28&gt;=INDEX($D51:W51,1,MATCH(W$36-$C53,$D$36:W$36)),INDEX($D53:W53,1,MATCH(W$36-$C53,$D$36:W$36)),W28))</f>
        <v>0</v>
      </c>
      <c r="X53" s="20" t="s">
        <v>163</v>
      </c>
      <c r="Z53" s="22">
        <f t="shared" si="1"/>
        <v>8</v>
      </c>
      <c r="AA53" s="22">
        <f>IF(AA$36&lt;=$C53,AA28-Z28,
AA28-Z28+INDEX($Z53:AA53,1,MATCH(AA$36-$C53,$Z$36:AA$36)))</f>
        <v>0</v>
      </c>
      <c r="AB53" s="22">
        <f>IF(AB$36&lt;=$C53,AB28-AA28,
AB28-AA28+INDEX($Z53:AB53,1,MATCH(AB$36-$C53,$Z$36:AB$36)))</f>
        <v>0</v>
      </c>
      <c r="AC53" s="22">
        <f>IF(AC$36&lt;=$C53,AC28-AB28,
AC28-AB28+INDEX($Z53:AC53,1,MATCH(AC$36-$C53,$Z$36:AC$36)))</f>
        <v>0</v>
      </c>
      <c r="AD53" s="22">
        <f>IF(AD$36&lt;=$C53,AD28-AC28,
AD28-AC28+INDEX($Z53:AD53,1,MATCH(AD$36-$C53,$Z$36:AD$36)))</f>
        <v>0</v>
      </c>
      <c r="AE53" s="22">
        <f>IF(AE$36&lt;=$C53,AE28-AD28,
AE28-AD28+INDEX($Z53:AE53,1,MATCH(AE$36-$C53,$Z$36:AE$36)))</f>
        <v>0</v>
      </c>
      <c r="AF53" s="22">
        <f>IF(AF$36&lt;=$C53,AF28-AE28,
AF28-AE28+INDEX($Z53:AF53,1,MATCH(AF$36-$C53,$Z$36:AF$36)))</f>
        <v>0</v>
      </c>
      <c r="AG53" s="22">
        <f>IF(AG$36&lt;=$C53,AG28-AF28,
AG28-AF28+INDEX($Z53:AG53,1,MATCH(AG$36-$C53,$Z$36:AG$36)))</f>
        <v>0</v>
      </c>
      <c r="AH53" s="22">
        <f>IF(AH$36&lt;=$C53,AH28-AG28,
AH28-AG28+INDEX($Z53:AH53,1,MATCH(AH$36-$C53,$Z$36:AH$36)))</f>
        <v>8</v>
      </c>
      <c r="AI53" s="22">
        <f>IF(AI$36&lt;=$C53,AI28-AH28,
AI28-AH28+INDEX($Z53:AI53,1,MATCH(AI$36-$C53,$Z$36:AI$36)))</f>
        <v>0</v>
      </c>
      <c r="AJ53" s="22">
        <f>IF(AJ$36&lt;=$C53,AJ28-AI28,
AJ28-AI28+INDEX($Z53:AJ53,1,MATCH(AJ$36-$C53,$Z$36:AJ$36)))</f>
        <v>0</v>
      </c>
      <c r="AK53" s="22">
        <f>IF(AK$36&lt;=$C53,AK28-AJ28,
AK28-AJ28+INDEX($Z53:AK53,1,MATCH(AK$36-$C53,$Z$36:AK$36)))</f>
        <v>0</v>
      </c>
      <c r="AL53" s="22">
        <f>IF(AL$36&lt;=$C53,AL28-AK28,
AL28-AK28+INDEX($Z53:AL53,1,MATCH(AL$36-$C53,$Z$36:AL$36)))</f>
        <v>0</v>
      </c>
      <c r="AM53" s="22">
        <f>IF(AM$36&lt;=$C53,AM28-AL28,
AM28-AL28+INDEX($Z53:AM53,1,MATCH(AM$36-$C53,$Z$36:AM$36)))</f>
        <v>0</v>
      </c>
      <c r="AN53" s="22">
        <f>IF(AN$36&lt;=$C53,AN28-AM28,
AN28-AM28+INDEX($Z53:AN53,1,MATCH(AN$36-$C53,$Z$36:AN$36)))</f>
        <v>0</v>
      </c>
      <c r="AO53" s="22">
        <f>IF(AO$36&lt;=$C53,AO28-AN28,
AO28-AN28+INDEX($Z53:AO53,1,MATCH(AO$36-$C53,$Z$36:AO$36)))</f>
        <v>0</v>
      </c>
      <c r="AP53" s="22">
        <f>IF(AP$36&lt;=$C53,AP28-AO28,
AP28-AO28+INDEX($Z53:AP53,1,MATCH(AP$36-$C53,$Z$36:AP$36)))</f>
        <v>8</v>
      </c>
      <c r="AQ53" s="22">
        <f>IF(AQ$36&lt;=$C53,AQ28-AP28,
AQ28-AP28+INDEX($Z53:AQ53,1,MATCH(AQ$36-$C53,$Z$36:AQ$36)))</f>
        <v>0</v>
      </c>
      <c r="AR53" s="22">
        <f>IF(AR$36&lt;=$C53,AR28-AQ28,
AR28-AQ28+INDEX($Z53:AR53,1,MATCH(AR$36-$C53,$Z$36:AR$36)))</f>
        <v>0</v>
      </c>
      <c r="AS53" s="22">
        <f>IF(AS$36&lt;=$C53,AS28-AR28,
AS28-AR28+INDEX($Z53:AS53,1,MATCH(AS$36-$C53,$Z$36:AS$36)))</f>
        <v>0</v>
      </c>
      <c r="AT53" s="20" t="s">
        <v>164</v>
      </c>
    </row>
    <row r="60" spans="1:46" x14ac:dyDescent="0.25">
      <c r="A6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3EA5B-71A9-4539-BD6A-8C3B4C00345C}">
  <dimension ref="A1:CF53"/>
  <sheetViews>
    <sheetView zoomScale="80" zoomScaleNormal="80" workbookViewId="0">
      <pane xSplit="1" topLeftCell="B1" activePane="topRight" state="frozen"/>
      <selection pane="topRight" sqref="A1:XFD1"/>
    </sheetView>
  </sheetViews>
  <sheetFormatPr defaultColWidth="8.5703125" defaultRowHeight="15" x14ac:dyDescent="0.25"/>
  <cols>
    <col min="1" max="1" width="59.7109375" style="17" customWidth="1"/>
    <col min="2" max="2" width="20.28515625" style="17" customWidth="1"/>
    <col min="3" max="3" width="18" style="17" customWidth="1"/>
    <col min="4" max="4" width="14.42578125" style="17" bestFit="1" customWidth="1"/>
    <col min="5" max="5" width="13.7109375" style="17" customWidth="1"/>
    <col min="6" max="6" width="17.28515625" style="17" bestFit="1" customWidth="1"/>
    <col min="7" max="11" width="13.7109375" style="17" customWidth="1"/>
    <col min="12" max="12" width="14.42578125" style="17" bestFit="1" customWidth="1"/>
    <col min="13" max="19" width="13.7109375" style="17" customWidth="1"/>
    <col min="20" max="20" width="14.42578125" style="17" bestFit="1" customWidth="1"/>
    <col min="21" max="23" width="13.7109375" style="17" customWidth="1"/>
    <col min="24" max="24" width="16.28515625" style="17" bestFit="1" customWidth="1"/>
    <col min="25" max="25" width="23.7109375" style="17" customWidth="1"/>
    <col min="26" max="45" width="15.28515625" style="17" customWidth="1"/>
    <col min="46" max="55" width="8.7109375" style="17" bestFit="1" customWidth="1"/>
    <col min="56" max="16384" width="8.5703125" style="17"/>
  </cols>
  <sheetData>
    <row r="1" spans="1:84" ht="21" x14ac:dyDescent="0.35">
      <c r="A1" s="141" t="s">
        <v>165</v>
      </c>
      <c r="B1" s="99"/>
      <c r="C1" s="99"/>
      <c r="D1" s="99"/>
    </row>
    <row r="2" spans="1:84" x14ac:dyDescent="0.25"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</row>
    <row r="3" spans="1:84" x14ac:dyDescent="0.25"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</row>
    <row r="4" spans="1:84" s="26" customFormat="1" x14ac:dyDescent="0.25">
      <c r="A4" s="54" t="s">
        <v>167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x14ac:dyDescent="0.25"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1:84" x14ac:dyDescent="0.25">
      <c r="A6" s="22" t="s">
        <v>168</v>
      </c>
      <c r="B6" s="9">
        <v>0.375</v>
      </c>
      <c r="C6" s="20" t="s">
        <v>169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1:84" x14ac:dyDescent="0.25">
      <c r="A7" s="22" t="s">
        <v>393</v>
      </c>
      <c r="B7" s="230">
        <v>0.8</v>
      </c>
      <c r="C7" s="20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1:84" x14ac:dyDescent="0.25">
      <c r="A8" s="22" t="s">
        <v>394</v>
      </c>
      <c r="B8" s="9">
        <v>0.04</v>
      </c>
      <c r="C8" s="20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84" x14ac:dyDescent="0.25">
      <c r="A9" s="22" t="s">
        <v>402</v>
      </c>
      <c r="B9" s="9">
        <v>5.6899999999999999E-2</v>
      </c>
      <c r="C9" s="2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</row>
    <row r="10" spans="1:84" x14ac:dyDescent="0.25">
      <c r="B10" s="20"/>
      <c r="C10" s="2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1:84" x14ac:dyDescent="0.25"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1:84" x14ac:dyDescent="0.25">
      <c r="D12" s="225" cm="1">
        <f t="array" ref="D12:W12">years</f>
        <v>2018</v>
      </c>
      <c r="E12" s="225">
        <v>2019</v>
      </c>
      <c r="F12" s="225">
        <v>2020</v>
      </c>
      <c r="G12" s="225">
        <v>2021</v>
      </c>
      <c r="H12" s="225">
        <v>2022</v>
      </c>
      <c r="I12" s="225">
        <v>2023</v>
      </c>
      <c r="J12" s="225">
        <v>2024</v>
      </c>
      <c r="K12" s="225">
        <v>2025</v>
      </c>
      <c r="L12" s="225">
        <v>2026</v>
      </c>
      <c r="M12" s="224">
        <v>2027</v>
      </c>
      <c r="N12" s="224">
        <v>2028</v>
      </c>
      <c r="O12" s="224">
        <v>2029</v>
      </c>
      <c r="P12" s="224">
        <v>2030</v>
      </c>
      <c r="Q12" s="224">
        <v>2031</v>
      </c>
      <c r="R12" s="224">
        <v>2032</v>
      </c>
      <c r="S12" s="224">
        <v>2033</v>
      </c>
      <c r="T12" s="224">
        <v>2034</v>
      </c>
      <c r="U12" s="224">
        <v>2035</v>
      </c>
      <c r="V12" s="224">
        <v>2036</v>
      </c>
      <c r="W12" s="224">
        <v>2037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1:84" x14ac:dyDescent="0.25">
      <c r="A13" s="22" t="s">
        <v>170</v>
      </c>
      <c r="C13" s="218"/>
      <c r="D13" s="217">
        <f>INDEX('Macroeconomic data'!$C$28:$AA$30, MATCH(Summary!$B$22,_xlfn.ANCHORARRAY('Macroeconomic data'!$B$28),0), MATCH('Macroeconomic data'!H27,'Macroeconomic data'!$C27:$AA27,0))</f>
        <v>13.246775199999993</v>
      </c>
      <c r="E13" s="217">
        <f>INDEX('Macroeconomic data'!$C$28:$AA$30, MATCH(Summary!$B$22,_xlfn.ANCHORARRAY('Macroeconomic data'!$B$28),0), MATCH('Macroeconomic data'!I27,'Macroeconomic data'!$C27:$AA27,0))</f>
        <v>14.451177510040162</v>
      </c>
      <c r="F13" s="217">
        <f>INDEX('Macroeconomic data'!$C$28:$AA$30, MATCH(Summary!$B$22,_xlfn.ANCHORARRAY('Macroeconomic data'!$B$28),0), MATCH('Macroeconomic data'!J27,'Macroeconomic data'!$C27:$AA27,0))</f>
        <v>16.441369841269843</v>
      </c>
      <c r="G13" s="217">
        <f>INDEX('Macroeconomic data'!$C$28:$AA$30, MATCH(Summary!$B$22,_xlfn.ANCHORARRAY('Macroeconomic data'!$B$28),0), MATCH('Macroeconomic data'!K27,'Macroeconomic data'!$C27:$AA27,0))</f>
        <v>14.783901599999995</v>
      </c>
      <c r="H13" s="217">
        <f>INDEX('Macroeconomic data'!$C$28:$AA$30, MATCH(Summary!$B$22,_xlfn.ANCHORARRAY('Macroeconomic data'!$B$28),0), MATCH('Macroeconomic data'!L27,'Macroeconomic data'!$C27:$AA27,0))</f>
        <v>16.381369199999995</v>
      </c>
      <c r="I13" s="217">
        <f>INDEX('Macroeconomic data'!$C$28:$AA$30, MATCH(Summary!$B$22,_xlfn.ANCHORARRAY('Macroeconomic data'!$B$28),0), MATCH('Macroeconomic data'!M27,'Macroeconomic data'!$C27:$AA27,0))</f>
        <v>16.95</v>
      </c>
      <c r="J13" s="217">
        <f>INDEX('Macroeconomic data'!$C$28:$AA$30, MATCH(Summary!$B$22,_xlfn.ANCHORARRAY('Macroeconomic data'!$B$28),0), MATCH('Macroeconomic data'!N27,'Macroeconomic data'!$C27:$AA27,0))</f>
        <v>16.912500000000001</v>
      </c>
      <c r="K13" s="217">
        <f>INDEX('Macroeconomic data'!$C$28:$AA$30, MATCH(Summary!$B$22,_xlfn.ANCHORARRAY('Macroeconomic data'!$B$28),0), MATCH('Macroeconomic data'!O27,'Macroeconomic data'!$C27:$AA27,0))</f>
        <v>17</v>
      </c>
      <c r="L13" s="217">
        <f>INDEX('Macroeconomic data'!$C$28:$AA$30, MATCH(Summary!$B$22,_xlfn.ANCHORARRAY('Macroeconomic data'!$B$28),0), MATCH('Macroeconomic data'!P27,'Macroeconomic data'!$C27:$AA27,0))</f>
        <v>17.616753857389533</v>
      </c>
      <c r="M13" s="217">
        <f>INDEX('Macroeconomic data'!$C$28:$AA$30, MATCH(Summary!$B$22,_xlfn.ANCHORARRAY('Macroeconomic data'!$B$28),0), MATCH('Macroeconomic data'!Q27,'Macroeconomic data'!$C27:$AA27,0))</f>
        <v>18.255883321873469</v>
      </c>
      <c r="N13" s="217">
        <f>INDEX('Macroeconomic data'!$C$28:$AA$30, MATCH(Summary!$B$22,_xlfn.ANCHORARRAY('Macroeconomic data'!$B$28),0), MATCH('Macroeconomic data'!R27,'Macroeconomic data'!$C27:$AA27,0))</f>
        <v>18.918200172392215</v>
      </c>
      <c r="O13" s="217">
        <f>INDEX('Macroeconomic data'!$C$28:$AA$30, MATCH(Summary!$B$22,_xlfn.ANCHORARRAY('Macroeconomic data'!$B$28),0), MATCH('Macroeconomic data'!S27,'Macroeconomic data'!$C27:$AA27,0))</f>
        <v>19.604545638932816</v>
      </c>
      <c r="P13" s="217">
        <f>INDEX('Macroeconomic data'!$C$28:$AA$30, MATCH(Summary!$B$22,_xlfn.ANCHORARRAY('Macroeconomic data'!$B$28),0), MATCH('Macroeconomic data'!T27,'Macroeconomic data'!$C27:$AA27,0))</f>
        <v>20.315791471002282</v>
      </c>
      <c r="Q13" s="217">
        <f>INDEX('Macroeconomic data'!$C$28:$AA$30, MATCH(Summary!$B$22,_xlfn.ANCHORARRAY('Macroeconomic data'!$B$28),0), MATCH('Macroeconomic data'!U27,'Macroeconomic data'!$C27:$AA27,0))</f>
        <v>20.684316257933517</v>
      </c>
      <c r="R13" s="217">
        <f>INDEX('Macroeconomic data'!$C$28:$AA$30, MATCH(Summary!$B$22,_xlfn.ANCHORARRAY('Macroeconomic data'!$B$28),0), MATCH('Macroeconomic data'!V27,'Macroeconomic data'!$C27:$AA27,0))</f>
        <v>21.059526017920149</v>
      </c>
      <c r="S13" s="217">
        <f>INDEX('Macroeconomic data'!$C$28:$AA$30, MATCH(Summary!$B$22,_xlfn.ANCHORARRAY('Macroeconomic data'!$B$28),0), MATCH('Macroeconomic data'!W27,'Macroeconomic data'!$C27:$AA27,0))</f>
        <v>21.441542015165663</v>
      </c>
      <c r="T13" s="217">
        <f>INDEX('Macroeconomic data'!$C$28:$AA$30, MATCH(Summary!$B$22,_xlfn.ANCHORARRAY('Macroeconomic data'!$B$28),0), MATCH('Macroeconomic data'!X27,'Macroeconomic data'!$C27:$AA27,0))</f>
        <v>21.830487713584283</v>
      </c>
      <c r="U13" s="217">
        <f>INDEX('Macroeconomic data'!$C$28:$AA$30, MATCH(Summary!$B$22,_xlfn.ANCHORARRAY('Macroeconomic data'!$B$28),0), MATCH('Macroeconomic data'!Y27,'Macroeconomic data'!$C27:$AA27,0))</f>
        <v>22.226488816703338</v>
      </c>
      <c r="V13" s="217">
        <f>INDEX('Macroeconomic data'!$C$28:$AA$30, MATCH(Summary!$B$22,_xlfn.ANCHORARRAY('Macroeconomic data'!$B$28),0), MATCH('Macroeconomic data'!Z27,'Macroeconomic data'!$C27:$AA27,0))</f>
        <v>22.226488816703338</v>
      </c>
      <c r="W13" s="217">
        <f>INDEX('Macroeconomic data'!$C$28:$AA$30, MATCH(Summary!$B$22,_xlfn.ANCHORARRAY('Macroeconomic data'!$B$28),0), MATCH('Macroeconomic data'!AA27,'Macroeconomic data'!$C27:$AA27,0))</f>
        <v>22.226488816703338</v>
      </c>
      <c r="Y13" s="171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</row>
    <row r="14" spans="1:84" x14ac:dyDescent="0.25">
      <c r="A14" s="22" t="s">
        <v>171</v>
      </c>
      <c r="C14" s="218"/>
      <c r="D14" s="217">
        <f>INDEX('Macroeconomic data'!$C$33:$AA$35, MATCH(Summary!$B$22,_xlfn.ANCHORARRAY('Macroeconomic data'!$B$33),0), MATCH('Macroeconomic data'!H32,'Macroeconomic data'!$C32:$AA32,0))</f>
        <v>17.641773199999999</v>
      </c>
      <c r="E14" s="217">
        <f>INDEX('Macroeconomic data'!$C$33:$AA$35, MATCH(Summary!$B$22,_xlfn.ANCHORARRAY('Macroeconomic data'!$B$33),0), MATCH('Macroeconomic data'!I32,'Macroeconomic data'!$C32:$AA32,0))</f>
        <v>18.430149397590366</v>
      </c>
      <c r="F14" s="217">
        <f>INDEX('Macroeconomic data'!$C$33:$AA$35, MATCH(Summary!$B$22,_xlfn.ANCHORARRAY('Macroeconomic data'!$B$33),0), MATCH('Macroeconomic data'!J32,'Macroeconomic data'!$C32:$AA32,0))</f>
        <v>21.072238492063484</v>
      </c>
      <c r="G14" s="217">
        <f>INDEX('Macroeconomic data'!$C$33:$AA$35, MATCH(Summary!$B$22,_xlfn.ANCHORARRAY('Macroeconomic data'!$B$33),0), MATCH('Macroeconomic data'!K32,'Macroeconomic data'!$C32:$AA32,0))</f>
        <v>20.328223200000007</v>
      </c>
      <c r="H14" s="217">
        <f>INDEX('Macroeconomic data'!$C$33:$AA$35, MATCH(Summary!$B$22,_xlfn.ANCHORARRAY('Macroeconomic data'!$B$33),0), MATCH('Macroeconomic data'!L32,'Macroeconomic data'!$C32:$AA32,0))</f>
        <v>20.179558399999998</v>
      </c>
      <c r="I14" s="217">
        <f>INDEX('Macroeconomic data'!$C$33:$AA$35, MATCH(Summary!$B$22,_xlfn.ANCHORARRAY('Macroeconomic data'!$B$33),0), MATCH('Macroeconomic data'!M32,'Macroeconomic data'!$C32:$AA32,0))</f>
        <v>21.057499999999997</v>
      </c>
      <c r="J14" s="217">
        <f>INDEX('Macroeconomic data'!$C$33:$AA$35, MATCH(Summary!$B$22,_xlfn.ANCHORARRAY('Macroeconomic data'!$B$33),0), MATCH('Macroeconomic data'!N32,'Macroeconomic data'!$C32:$AA32,0))</f>
        <v>21.6525</v>
      </c>
      <c r="K14" s="217">
        <f>INDEX('Macroeconomic data'!$C$33:$AA$35, MATCH(Summary!$B$22,_xlfn.ANCHORARRAY('Macroeconomic data'!$B$33),0), MATCH('Macroeconomic data'!O32,'Macroeconomic data'!$C32:$AA32,0))</f>
        <v>22.1</v>
      </c>
      <c r="L14" s="217">
        <f>INDEX('Macroeconomic data'!$C$33:$AA$35, MATCH(Summary!$B$22,_xlfn.ANCHORARRAY('Macroeconomic data'!$B$33),0), MATCH('Macroeconomic data'!P32,'Macroeconomic data'!$C32:$AA32,0))</f>
        <v>22.822901226080631</v>
      </c>
      <c r="M14" s="217">
        <f>INDEX('Macroeconomic data'!$C$33:$AA$35, MATCH(Summary!$B$22,_xlfn.ANCHORARRAY('Macroeconomic data'!$B$33),0), MATCH('Macroeconomic data'!Q32,'Macroeconomic data'!$C32:$AA32,0))</f>
        <v>23.569448885766189</v>
      </c>
      <c r="N14" s="217">
        <f>INDEX('Macroeconomic data'!$C$33:$AA$35, MATCH(Summary!$B$22,_xlfn.ANCHORARRAY('Macroeconomic data'!$B$33),0), MATCH('Macroeconomic data'!R32,'Macroeconomic data'!$C32:$AA32,0))</f>
        <v>24.340416464841535</v>
      </c>
      <c r="O14" s="217">
        <f>INDEX('Macroeconomic data'!$C$33:$AA$35, MATCH(Summary!$B$22,_xlfn.ANCHORARRAY('Macroeconomic data'!$B$33),0), MATCH('Macroeconomic data'!S32,'Macroeconomic data'!$C32:$AA32,0))</f>
        <v>25.136602750169459</v>
      </c>
      <c r="P14" s="217">
        <f>INDEX('Macroeconomic data'!$C$33:$AA$35, MATCH(Summary!$B$22,_xlfn.ANCHORARRAY('Macroeconomic data'!$B$33),0), MATCH('Macroeconomic data'!T32,'Macroeconomic data'!$C32:$AA32,0))</f>
        <v>25.958832657300647</v>
      </c>
      <c r="Q14" s="217">
        <f>INDEX('Macroeconomic data'!$C$33:$AA$35, MATCH(Summary!$B$22,_xlfn.ANCHORARRAY('Macroeconomic data'!$B$33),0), MATCH('Macroeconomic data'!U32,'Macroeconomic data'!$C32:$AA32,0))</f>
        <v>26.383395371227898</v>
      </c>
      <c r="R14" s="217">
        <f>INDEX('Macroeconomic data'!$C$33:$AA$35, MATCH(Summary!$B$22,_xlfn.ANCHORARRAY('Macroeconomic data'!$B$33),0), MATCH('Macroeconomic data'!V32,'Macroeconomic data'!$C32:$AA32,0))</f>
        <v>26.814901906567957</v>
      </c>
      <c r="S14" s="217">
        <f>INDEX('Macroeconomic data'!$C$33:$AA$35, MATCH(Summary!$B$22,_xlfn.ANCHORARRAY('Macroeconomic data'!$B$33),0), MATCH('Macroeconomic data'!W32,'Macroeconomic data'!$C32:$AA32,0))</f>
        <v>27.253465831126551</v>
      </c>
      <c r="T14" s="217">
        <f>INDEX('Macroeconomic data'!$C$33:$AA$35, MATCH(Summary!$B$22,_xlfn.ANCHORARRAY('Macroeconomic data'!$B$33),0), MATCH('Macroeconomic data'!X32,'Macroeconomic data'!$C32:$AA32,0))</f>
        <v>27.699202570137139</v>
      </c>
      <c r="U14" s="217">
        <f>INDEX('Macroeconomic data'!$C$33:$AA$35, MATCH(Summary!$B$22,_xlfn.ANCHORARRAY('Macroeconomic data'!$B$33),0), MATCH('Macroeconomic data'!Y32,'Macroeconomic data'!$C32:$AA32,0))</f>
        <v>28.15222943663958</v>
      </c>
      <c r="V14" s="217">
        <f>INDEX('Macroeconomic data'!$C$33:$AA$35, MATCH(Summary!$B$22,_xlfn.ANCHORARRAY('Macroeconomic data'!$B$33),0), MATCH('Macroeconomic data'!Z32,'Macroeconomic data'!$C32:$AA32,0))</f>
        <v>28.15222943663958</v>
      </c>
      <c r="W14" s="217">
        <f>INDEX('Macroeconomic data'!$C$33:$AA$35, MATCH(Summary!$B$22,_xlfn.ANCHORARRAY('Macroeconomic data'!$B$33),0), MATCH('Macroeconomic data'!AA32,'Macroeconomic data'!$C32:$AA32,0))</f>
        <v>28.15222943663958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</row>
    <row r="15" spans="1:84" x14ac:dyDescent="0.25">
      <c r="A15" s="22" t="s">
        <v>172</v>
      </c>
      <c r="C15" s="218"/>
      <c r="D15" s="217">
        <f>INDEX('Macroeconomic data'!$C$39:$AA$41, MATCH(Summary!$B$22,_xlfn.ANCHORARRAY('Macroeconomic data'!$B$39),0), MATCH('Macroeconomic data'!H38,'Macroeconomic data'!$C38:$AA38,0))</f>
        <v>15.610738</v>
      </c>
      <c r="E15" s="217">
        <f>INDEX('Macroeconomic data'!$C$39:$AA$41, MATCH(Summary!$B$22,_xlfn.ANCHORARRAY('Macroeconomic data'!$B$39),0), MATCH('Macroeconomic data'!I38,'Macroeconomic data'!$C38:$AA38,0))</f>
        <v>16.17564016064258</v>
      </c>
      <c r="F15" s="217">
        <f>INDEX('Macroeconomic data'!$C$39:$AA$41, MATCH(Summary!$B$22,_xlfn.ANCHORARRAY('Macroeconomic data'!$B$39),0), MATCH('Macroeconomic data'!J38,'Macroeconomic data'!$C38:$AA38,0))</f>
        <v>18.757049999999992</v>
      </c>
      <c r="G15" s="217">
        <f>INDEX('Macroeconomic data'!$C$39:$AA$41, MATCH(Summary!$B$22,_xlfn.ANCHORARRAY('Macroeconomic data'!$B$39),0), MATCH('Macroeconomic data'!K38,'Macroeconomic data'!$C38:$AA38,0))</f>
        <v>17.480877599999989</v>
      </c>
      <c r="H15" s="217">
        <f>INDEX('Macroeconomic data'!$C$39:$AA$41, MATCH(Summary!$B$22,_xlfn.ANCHORARRAY('Macroeconomic data'!$B$39),0), MATCH('Macroeconomic data'!L38,'Macroeconomic data'!$C38:$AA38,0))</f>
        <v>17.2063676</v>
      </c>
      <c r="I15" s="217">
        <f>INDEX('Macroeconomic data'!$C$39:$AA$41, MATCH(Summary!$B$22,_xlfn.ANCHORARRAY('Macroeconomic data'!$B$39),0), MATCH('Macroeconomic data'!M38,'Macroeconomic data'!$C38:$AA38,0))</f>
        <v>18.675000000000004</v>
      </c>
      <c r="J15" s="217">
        <f>INDEX('Macroeconomic data'!$C$39:$AA$41, MATCH(Summary!$B$22,_xlfn.ANCHORARRAY('Macroeconomic data'!$B$39),0), MATCH('Macroeconomic data'!N38,'Macroeconomic data'!$C38:$AA38,0))</f>
        <v>19.455000000000002</v>
      </c>
      <c r="K15" s="217">
        <f>INDEX('Macroeconomic data'!$C$39:$AA$41, MATCH(Summary!$B$22,_xlfn.ANCHORARRAY('Macroeconomic data'!$B$39),0), MATCH('Macroeconomic data'!O38,'Macroeconomic data'!$C38:$AA38,0))</f>
        <v>19.887499999999999</v>
      </c>
      <c r="L15" s="217">
        <f>INDEX('Macroeconomic data'!$C$39:$AA$41, MATCH(Summary!$B$22,_xlfn.ANCHORARRAY('Macroeconomic data'!$B$39),0), MATCH('Macroeconomic data'!P38,'Macroeconomic data'!$C38:$AA38,0))</f>
        <v>20.587451384113862</v>
      </c>
      <c r="M15" s="217">
        <f>INDEX('Macroeconomic data'!$C$39:$AA$41, MATCH(Summary!$B$22,_xlfn.ANCHORARRAY('Macroeconomic data'!$B$39),0), MATCH('Macroeconomic data'!Q38,'Macroeconomic data'!$C38:$AA38,0))</f>
        <v>21.312037938064201</v>
      </c>
      <c r="N15" s="217">
        <f>INDEX('Macroeconomic data'!$C$39:$AA$41, MATCH(Summary!$B$22,_xlfn.ANCHORARRAY('Macroeconomic data'!$B$39),0), MATCH('Macroeconomic data'!R38,'Macroeconomic data'!$C38:$AA38,0))</f>
        <v>22.062126710058429</v>
      </c>
      <c r="O15" s="217">
        <f>INDEX('Macroeconomic data'!$C$39:$AA$41, MATCH(Summary!$B$22,_xlfn.ANCHORARRAY('Macroeconomic data'!$B$39),0), MATCH('Macroeconomic data'!S38,'Macroeconomic data'!$C38:$AA38,0))</f>
        <v>22.838615264537417</v>
      </c>
      <c r="P15" s="217">
        <f>INDEX('Macroeconomic data'!$C$39:$AA$41, MATCH(Summary!$B$22,_xlfn.ANCHORARRAY('Macroeconomic data'!$B$39),0), MATCH('Macroeconomic data'!T38,'Macroeconomic data'!$C38:$AA38,0))</f>
        <v>23.64243275621093</v>
      </c>
      <c r="Q15" s="217">
        <f>INDEX('Macroeconomic data'!$C$39:$AA$41, MATCH(Summary!$B$22,_xlfn.ANCHORARRAY('Macroeconomic data'!$B$39),0), MATCH('Macroeconomic data'!U38,'Macroeconomic data'!$C38:$AA38,0))</f>
        <v>24.058486899052635</v>
      </c>
      <c r="R15" s="217">
        <f>INDEX('Macroeconomic data'!$C$39:$AA$41, MATCH(Summary!$B$22,_xlfn.ANCHORARRAY('Macroeconomic data'!$B$39),0), MATCH('Macroeconomic data'!V38,'Macroeconomic data'!$C38:$AA38,0))</f>
        <v>24.481862667869159</v>
      </c>
      <c r="S15" s="217">
        <f>INDEX('Macroeconomic data'!$C$39:$AA$41, MATCH(Summary!$B$22,_xlfn.ANCHORARRAY('Macroeconomic data'!$B$39),0), MATCH('Macroeconomic data'!W38,'Macroeconomic data'!$C38:$AA38,0))</f>
        <v>24.912688906965588</v>
      </c>
      <c r="T15" s="217">
        <f>INDEX('Macroeconomic data'!$C$39:$AA$41, MATCH(Summary!$B$22,_xlfn.ANCHORARRAY('Macroeconomic data'!$B$39),0), MATCH('Macroeconomic data'!X38,'Macroeconomic data'!$C38:$AA38,0))</f>
        <v>25.351096728019733</v>
      </c>
      <c r="U15" s="217">
        <f>INDEX('Macroeconomic data'!$C$39:$AA$41, MATCH(Summary!$B$22,_xlfn.ANCHORARRAY('Macroeconomic data'!$B$39),0), MATCH('Macroeconomic data'!Y38,'Macroeconomic data'!$C38:$AA38,0))</f>
        <v>25.797219549982824</v>
      </c>
      <c r="V15" s="217">
        <f>INDEX('Macroeconomic data'!$C$39:$AA$41, MATCH(Summary!$B$22,_xlfn.ANCHORARRAY('Macroeconomic data'!$B$39),0), MATCH('Macroeconomic data'!Z38,'Macroeconomic data'!$C38:$AA38,0))</f>
        <v>25.797219549982824</v>
      </c>
      <c r="W15" s="217">
        <f>INDEX('Macroeconomic data'!$C$39:$AA$41, MATCH(Summary!$B$22,_xlfn.ANCHORARRAY('Macroeconomic data'!$B$39),0), MATCH('Macroeconomic data'!AA38,'Macroeconomic data'!$C38:$AA38,0))</f>
        <v>25.797219549982824</v>
      </c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</row>
    <row r="16" spans="1:84" x14ac:dyDescent="0.25">
      <c r="A16" s="22" t="s">
        <v>173</v>
      </c>
      <c r="B16" s="123"/>
      <c r="C16" s="219"/>
      <c r="D16" s="145">
        <f>'Macroeconomic data'!H5</f>
        <v>4.7E-2</v>
      </c>
      <c r="E16" s="145">
        <f>'Macroeconomic data'!I5</f>
        <v>4.0999999999999995E-2</v>
      </c>
      <c r="F16" s="145">
        <f>'Macroeconomic data'!J5</f>
        <v>3.3000000000000002E-2</v>
      </c>
      <c r="G16" s="145">
        <f>'Macroeconomic data'!K5</f>
        <v>4.4999999999999998E-2</v>
      </c>
      <c r="H16" s="145">
        <f>'Macroeconomic data'!L5</f>
        <v>6.9000000000000006E-2</v>
      </c>
      <c r="I16" s="145">
        <f>'Macroeconomic data'!M5</f>
        <v>5.4000000000000006E-2</v>
      </c>
      <c r="J16" s="145">
        <f>'Macroeconomic data'!N5</f>
        <v>4.8000000000000001E-2</v>
      </c>
      <c r="K16" s="145">
        <f>'Macroeconomic data'!O5</f>
        <v>4.4999999999999998E-2</v>
      </c>
      <c r="L16" s="145">
        <f>'Macroeconomic data'!P5</f>
        <v>4.4999999999999998E-2</v>
      </c>
      <c r="M16" s="145">
        <f>'Macroeconomic data'!Q5</f>
        <v>4.4999999999999998E-2</v>
      </c>
      <c r="N16" s="145">
        <f>'Macroeconomic data'!R5</f>
        <v>4.4999999999999998E-2</v>
      </c>
      <c r="O16" s="145">
        <f>'Macroeconomic data'!S5</f>
        <v>4.4999999999999998E-2</v>
      </c>
      <c r="P16" s="145">
        <f>'Macroeconomic data'!T5</f>
        <v>4.4999999999999998E-2</v>
      </c>
      <c r="Q16" s="145">
        <f>'Macroeconomic data'!U5</f>
        <v>4.4999999999999998E-2</v>
      </c>
      <c r="R16" s="145">
        <f>'Macroeconomic data'!V5</f>
        <v>4.4999999999999998E-2</v>
      </c>
      <c r="S16" s="145">
        <f>'Macroeconomic data'!W5</f>
        <v>4.4999999999999998E-2</v>
      </c>
      <c r="T16" s="145">
        <f>'Macroeconomic data'!X5</f>
        <v>4.4999999999999998E-2</v>
      </c>
      <c r="U16" s="145">
        <f>'Macroeconomic data'!Y5</f>
        <v>4.4999999999999998E-2</v>
      </c>
      <c r="V16" s="145">
        <f>'Macroeconomic data'!Z5</f>
        <v>4.4999999999999998E-2</v>
      </c>
      <c r="W16" s="145">
        <f>'Macroeconomic data'!AA5</f>
        <v>4.4999999999999998E-2</v>
      </c>
      <c r="X16" s="20" t="s">
        <v>174</v>
      </c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</row>
    <row r="17" spans="1:26" x14ac:dyDescent="0.25">
      <c r="A17" s="22" t="s">
        <v>175</v>
      </c>
      <c r="C17" s="29"/>
      <c r="D17" s="3">
        <f>1*(1+D16)</f>
        <v>1.0469999999999999</v>
      </c>
      <c r="E17" s="10">
        <f>D17*(1+E16)</f>
        <v>1.0899269999999999</v>
      </c>
      <c r="F17" s="10">
        <f>E17*(1+F16)</f>
        <v>1.1258945909999998</v>
      </c>
      <c r="G17" s="10">
        <f t="shared" ref="G17" si="0">F17*(1+G16)</f>
        <v>1.1765598475949997</v>
      </c>
      <c r="H17" s="10">
        <f t="shared" ref="H17" si="1">G17*(1+H16)</f>
        <v>1.2577424770790546</v>
      </c>
      <c r="I17" s="10">
        <f t="shared" ref="I17" si="2">H17*(1+I16)</f>
        <v>1.3256605708413236</v>
      </c>
      <c r="J17" s="10">
        <f t="shared" ref="J17" si="3">I17*(1+J16)</f>
        <v>1.3892922782417072</v>
      </c>
      <c r="K17" s="10">
        <f t="shared" ref="K17" si="4">J17*(1+K16)</f>
        <v>1.4518104307625839</v>
      </c>
      <c r="L17" s="10">
        <f t="shared" ref="L17" si="5">K17*(1+L16)</f>
        <v>1.5171419001469</v>
      </c>
      <c r="M17" s="10">
        <f t="shared" ref="M17" si="6">L17*(1+M16)</f>
        <v>1.5854132856535104</v>
      </c>
      <c r="N17" s="10">
        <f t="shared" ref="N17:W17" si="7">M17*(1+N16)</f>
        <v>1.6567568835079183</v>
      </c>
      <c r="O17" s="10">
        <f t="shared" si="7"/>
        <v>1.7313109432657745</v>
      </c>
      <c r="P17" s="10">
        <f t="shared" si="7"/>
        <v>1.8092199357127343</v>
      </c>
      <c r="Q17" s="10">
        <f t="shared" si="7"/>
        <v>1.8906348328198073</v>
      </c>
      <c r="R17" s="10">
        <f t="shared" si="7"/>
        <v>1.9757134002966985</v>
      </c>
      <c r="S17" s="10">
        <f t="shared" si="7"/>
        <v>2.0646205033100498</v>
      </c>
      <c r="T17" s="10">
        <f t="shared" si="7"/>
        <v>2.157528425959002</v>
      </c>
      <c r="U17" s="10">
        <f t="shared" si="7"/>
        <v>2.2546172051271567</v>
      </c>
      <c r="V17" s="10">
        <f t="shared" si="7"/>
        <v>2.3560749793578788</v>
      </c>
      <c r="W17" s="10">
        <f t="shared" si="7"/>
        <v>2.4620983534289831</v>
      </c>
      <c r="X17" s="20" t="s">
        <v>176</v>
      </c>
    </row>
    <row r="18" spans="1:26" x14ac:dyDescent="0.25">
      <c r="A18" s="22" t="s">
        <v>396</v>
      </c>
      <c r="C18" s="29"/>
      <c r="D18" s="228">
        <v>0.28000000000000003</v>
      </c>
      <c r="E18" s="228">
        <v>0.28000000000000003</v>
      </c>
      <c r="F18" s="228">
        <v>0.28000000000000003</v>
      </c>
      <c r="G18" s="228">
        <v>0.28000000000000003</v>
      </c>
      <c r="H18" s="228">
        <v>0.27</v>
      </c>
      <c r="I18" s="228">
        <v>0.27</v>
      </c>
      <c r="J18" s="228">
        <v>0.27</v>
      </c>
      <c r="K18" s="228">
        <v>0.27</v>
      </c>
      <c r="L18" s="228">
        <v>0.27</v>
      </c>
      <c r="M18" s="228">
        <v>0.27</v>
      </c>
      <c r="N18" s="228">
        <v>0.27</v>
      </c>
      <c r="O18" s="228">
        <v>0.27</v>
      </c>
      <c r="P18" s="228">
        <v>0.27</v>
      </c>
      <c r="Q18" s="228">
        <v>0.27</v>
      </c>
      <c r="R18" s="228">
        <v>0.27</v>
      </c>
      <c r="S18" s="228">
        <v>0.27</v>
      </c>
      <c r="T18" s="228">
        <v>0.27</v>
      </c>
      <c r="U18" s="228">
        <v>0.27</v>
      </c>
      <c r="V18" s="228">
        <v>0.27</v>
      </c>
      <c r="W18" s="228">
        <v>0.27</v>
      </c>
      <c r="X18" s="20"/>
      <c r="Y18" s="231" t="s">
        <v>398</v>
      </c>
      <c r="Z18" s="17" t="s">
        <v>399</v>
      </c>
    </row>
    <row r="19" spans="1:26" x14ac:dyDescent="0.25">
      <c r="A19" s="22" t="s">
        <v>397</v>
      </c>
      <c r="C19" s="29"/>
      <c r="D19" s="229">
        <v>8.8849999999999998E-2</v>
      </c>
      <c r="E19" s="229">
        <v>8.2549999999999998E-2</v>
      </c>
      <c r="F19" s="229">
        <v>8.7349999999999997E-2</v>
      </c>
      <c r="G19" s="229">
        <v>9.2499999999999999E-2</v>
      </c>
      <c r="H19" s="229">
        <v>0.10185</v>
      </c>
      <c r="I19" s="229">
        <v>0.1028</v>
      </c>
      <c r="J19" s="229">
        <v>0.1028</v>
      </c>
      <c r="K19" s="229">
        <v>0.1028</v>
      </c>
      <c r="L19" s="229">
        <v>0.1028</v>
      </c>
      <c r="M19" s="229">
        <v>0.1028</v>
      </c>
      <c r="N19" s="229">
        <v>0.1028</v>
      </c>
      <c r="O19" s="229">
        <v>0.1028</v>
      </c>
      <c r="P19" s="229">
        <v>0.1028</v>
      </c>
      <c r="Q19" s="229">
        <v>0.1028</v>
      </c>
      <c r="R19" s="229">
        <v>0.1028</v>
      </c>
      <c r="S19" s="229">
        <v>0.1028</v>
      </c>
      <c r="T19" s="229">
        <v>0.1028</v>
      </c>
      <c r="U19" s="229">
        <v>0.1028</v>
      </c>
      <c r="V19" s="229">
        <v>0.1028</v>
      </c>
      <c r="W19" s="229">
        <v>0.1028</v>
      </c>
      <c r="X19" s="20"/>
      <c r="Y19" s="232" t="s">
        <v>400</v>
      </c>
      <c r="Z19" s="17" t="s">
        <v>401</v>
      </c>
    </row>
    <row r="20" spans="1:26" x14ac:dyDescent="0.25">
      <c r="A20" s="22" t="s">
        <v>177</v>
      </c>
      <c r="D20" s="217">
        <f>$B$8+D19</f>
        <v>0.12884999999999999</v>
      </c>
      <c r="E20" s="217">
        <f t="shared" ref="E20:W20" si="8">$B$8+E19</f>
        <v>0.12254999999999999</v>
      </c>
      <c r="F20" s="217">
        <f t="shared" si="8"/>
        <v>0.12734999999999999</v>
      </c>
      <c r="G20" s="217">
        <f t="shared" si="8"/>
        <v>0.13250000000000001</v>
      </c>
      <c r="H20" s="217">
        <f t="shared" si="8"/>
        <v>0.14185</v>
      </c>
      <c r="I20" s="217">
        <f t="shared" si="8"/>
        <v>0.14280000000000001</v>
      </c>
      <c r="J20" s="217">
        <f t="shared" si="8"/>
        <v>0.14280000000000001</v>
      </c>
      <c r="K20" s="217">
        <f t="shared" si="8"/>
        <v>0.14280000000000001</v>
      </c>
      <c r="L20" s="217">
        <f t="shared" si="8"/>
        <v>0.14280000000000001</v>
      </c>
      <c r="M20" s="217">
        <f t="shared" si="8"/>
        <v>0.14280000000000001</v>
      </c>
      <c r="N20" s="217">
        <f t="shared" si="8"/>
        <v>0.14280000000000001</v>
      </c>
      <c r="O20" s="217">
        <f t="shared" si="8"/>
        <v>0.14280000000000001</v>
      </c>
      <c r="P20" s="217">
        <f t="shared" si="8"/>
        <v>0.14280000000000001</v>
      </c>
      <c r="Q20" s="217">
        <f t="shared" si="8"/>
        <v>0.14280000000000001</v>
      </c>
      <c r="R20" s="217">
        <f t="shared" si="8"/>
        <v>0.14280000000000001</v>
      </c>
      <c r="S20" s="217">
        <f t="shared" si="8"/>
        <v>0.14280000000000001</v>
      </c>
      <c r="T20" s="217">
        <f t="shared" si="8"/>
        <v>0.14280000000000001</v>
      </c>
      <c r="U20" s="217">
        <f t="shared" si="8"/>
        <v>0.14280000000000001</v>
      </c>
      <c r="V20" s="217">
        <f t="shared" si="8"/>
        <v>0.14280000000000001</v>
      </c>
      <c r="W20" s="217">
        <f t="shared" si="8"/>
        <v>0.14280000000000001</v>
      </c>
    </row>
    <row r="21" spans="1:26" x14ac:dyDescent="0.25">
      <c r="A21" s="22" t="s">
        <v>178</v>
      </c>
      <c r="D21" s="217">
        <f>D19+$B$7*$B$9</f>
        <v>0.13436999999999999</v>
      </c>
      <c r="E21" s="217">
        <f t="shared" ref="E21:W21" si="9">E19+$B$7*$B$9</f>
        <v>0.12807000000000002</v>
      </c>
      <c r="F21" s="217">
        <f t="shared" si="9"/>
        <v>0.13286999999999999</v>
      </c>
      <c r="G21" s="217">
        <f t="shared" si="9"/>
        <v>0.13802</v>
      </c>
      <c r="H21" s="217">
        <f t="shared" si="9"/>
        <v>0.14737</v>
      </c>
      <c r="I21" s="217">
        <f t="shared" si="9"/>
        <v>0.14832000000000001</v>
      </c>
      <c r="J21" s="217">
        <f t="shared" si="9"/>
        <v>0.14832000000000001</v>
      </c>
      <c r="K21" s="217">
        <f t="shared" si="9"/>
        <v>0.14832000000000001</v>
      </c>
      <c r="L21" s="217">
        <f t="shared" si="9"/>
        <v>0.14832000000000001</v>
      </c>
      <c r="M21" s="217">
        <f t="shared" si="9"/>
        <v>0.14832000000000001</v>
      </c>
      <c r="N21" s="217">
        <f t="shared" si="9"/>
        <v>0.14832000000000001</v>
      </c>
      <c r="O21" s="217">
        <f t="shared" si="9"/>
        <v>0.14832000000000001</v>
      </c>
      <c r="P21" s="217">
        <f t="shared" si="9"/>
        <v>0.14832000000000001</v>
      </c>
      <c r="Q21" s="217">
        <f t="shared" si="9"/>
        <v>0.14832000000000001</v>
      </c>
      <c r="R21" s="217">
        <f t="shared" si="9"/>
        <v>0.14832000000000001</v>
      </c>
      <c r="S21" s="217">
        <f t="shared" si="9"/>
        <v>0.14832000000000001</v>
      </c>
      <c r="T21" s="217">
        <f t="shared" si="9"/>
        <v>0.14832000000000001</v>
      </c>
      <c r="U21" s="217">
        <f t="shared" si="9"/>
        <v>0.14832000000000001</v>
      </c>
      <c r="V21" s="217">
        <f t="shared" si="9"/>
        <v>0.14832000000000001</v>
      </c>
      <c r="W21" s="217">
        <f t="shared" si="9"/>
        <v>0.14832000000000001</v>
      </c>
    </row>
    <row r="22" spans="1:26" x14ac:dyDescent="0.25">
      <c r="A22" s="22" t="s">
        <v>395</v>
      </c>
      <c r="D22" s="233">
        <f t="shared" ref="D22:W22" si="10">D20*debt_perc+D21*(1-debt_perc)</f>
        <v>0.13229999999999997</v>
      </c>
      <c r="E22" s="233">
        <f t="shared" si="10"/>
        <v>0.126</v>
      </c>
      <c r="F22" s="233">
        <f t="shared" si="10"/>
        <v>0.1308</v>
      </c>
      <c r="G22" s="233">
        <f t="shared" si="10"/>
        <v>0.13595000000000002</v>
      </c>
      <c r="H22" s="233">
        <f t="shared" si="10"/>
        <v>0.14529999999999998</v>
      </c>
      <c r="I22" s="233">
        <f t="shared" si="10"/>
        <v>0.14624999999999999</v>
      </c>
      <c r="J22" s="233">
        <f t="shared" si="10"/>
        <v>0.14624999999999999</v>
      </c>
      <c r="K22" s="233">
        <f t="shared" si="10"/>
        <v>0.14624999999999999</v>
      </c>
      <c r="L22" s="233">
        <f t="shared" si="10"/>
        <v>0.14624999999999999</v>
      </c>
      <c r="M22" s="233">
        <f t="shared" si="10"/>
        <v>0.14624999999999999</v>
      </c>
      <c r="N22" s="233">
        <f t="shared" si="10"/>
        <v>0.14624999999999999</v>
      </c>
      <c r="O22" s="233">
        <f t="shared" si="10"/>
        <v>0.14624999999999999</v>
      </c>
      <c r="P22" s="233">
        <f t="shared" si="10"/>
        <v>0.14624999999999999</v>
      </c>
      <c r="Q22" s="233">
        <f t="shared" si="10"/>
        <v>0.14624999999999999</v>
      </c>
      <c r="R22" s="233">
        <f t="shared" si="10"/>
        <v>0.14624999999999999</v>
      </c>
      <c r="S22" s="233">
        <f t="shared" si="10"/>
        <v>0.14624999999999999</v>
      </c>
      <c r="T22" s="233">
        <f t="shared" si="10"/>
        <v>0.14624999999999999</v>
      </c>
      <c r="U22" s="233">
        <f t="shared" si="10"/>
        <v>0.14624999999999999</v>
      </c>
      <c r="V22" s="233">
        <f t="shared" si="10"/>
        <v>0.14624999999999999</v>
      </c>
      <c r="W22" s="233">
        <f t="shared" si="10"/>
        <v>0.14624999999999999</v>
      </c>
    </row>
    <row r="23" spans="1:26" x14ac:dyDescent="0.25">
      <c r="A23" s="47" t="s">
        <v>179</v>
      </c>
      <c r="D23" s="234">
        <f>(1+D24)/(1+D16)-1</f>
        <v>0.13061127029608399</v>
      </c>
      <c r="E23" s="234">
        <f t="shared" ref="E23:W23" si="11">(1+E24)/(1+E16)-1</f>
        <v>0.12872238232468791</v>
      </c>
      <c r="F23" s="234">
        <f t="shared" si="11"/>
        <v>0.14391739270732495</v>
      </c>
      <c r="G23" s="234">
        <f t="shared" si="11"/>
        <v>0.13762626262626276</v>
      </c>
      <c r="H23" s="234">
        <f t="shared" si="11"/>
        <v>0.12164742365800851</v>
      </c>
      <c r="I23" s="234">
        <f t="shared" si="11"/>
        <v>0.13884484416833454</v>
      </c>
      <c r="J23" s="234">
        <f t="shared" si="11"/>
        <v>0.14536494823800061</v>
      </c>
      <c r="K23" s="234">
        <f t="shared" si="11"/>
        <v>0.14865307727600463</v>
      </c>
      <c r="L23" s="234">
        <f t="shared" si="11"/>
        <v>0.14865307727600463</v>
      </c>
      <c r="M23" s="234">
        <f t="shared" si="11"/>
        <v>0.14865307727600463</v>
      </c>
      <c r="N23" s="234">
        <f t="shared" si="11"/>
        <v>0.14865307727600463</v>
      </c>
      <c r="O23" s="234">
        <f t="shared" si="11"/>
        <v>0.14865307727600463</v>
      </c>
      <c r="P23" s="234">
        <f t="shared" si="11"/>
        <v>0.14865307727600463</v>
      </c>
      <c r="Q23" s="234">
        <f t="shared" si="11"/>
        <v>0.14865307727600463</v>
      </c>
      <c r="R23" s="234">
        <f t="shared" si="11"/>
        <v>0.14865307727600463</v>
      </c>
      <c r="S23" s="234">
        <f t="shared" si="11"/>
        <v>0.14865307727600463</v>
      </c>
      <c r="T23" s="234">
        <f t="shared" si="11"/>
        <v>0.14865307727600463</v>
      </c>
      <c r="U23" s="234">
        <f t="shared" si="11"/>
        <v>0.14865307727600463</v>
      </c>
      <c r="V23" s="234">
        <f t="shared" si="11"/>
        <v>0.14865307727600463</v>
      </c>
      <c r="W23" s="234">
        <f t="shared" si="11"/>
        <v>0.14865307727600463</v>
      </c>
    </row>
    <row r="24" spans="1:26" x14ac:dyDescent="0.25">
      <c r="A24" s="22" t="s">
        <v>180</v>
      </c>
      <c r="D24" s="234">
        <f>D22/(1-D18)</f>
        <v>0.18374999999999997</v>
      </c>
      <c r="E24" s="234">
        <f t="shared" ref="E24:W24" si="12">E22/(1-E18)</f>
        <v>0.17500000000000002</v>
      </c>
      <c r="F24" s="234">
        <f t="shared" si="12"/>
        <v>0.18166666666666667</v>
      </c>
      <c r="G24" s="234">
        <f t="shared" si="12"/>
        <v>0.18881944444444448</v>
      </c>
      <c r="H24" s="234">
        <f t="shared" si="12"/>
        <v>0.19904109589041094</v>
      </c>
      <c r="I24" s="234">
        <f t="shared" si="12"/>
        <v>0.20034246575342465</v>
      </c>
      <c r="J24" s="234">
        <f t="shared" si="12"/>
        <v>0.20034246575342465</v>
      </c>
      <c r="K24" s="234">
        <f t="shared" si="12"/>
        <v>0.20034246575342465</v>
      </c>
      <c r="L24" s="234">
        <f t="shared" si="12"/>
        <v>0.20034246575342465</v>
      </c>
      <c r="M24" s="234">
        <f t="shared" si="12"/>
        <v>0.20034246575342465</v>
      </c>
      <c r="N24" s="234">
        <f t="shared" si="12"/>
        <v>0.20034246575342465</v>
      </c>
      <c r="O24" s="234">
        <f t="shared" si="12"/>
        <v>0.20034246575342465</v>
      </c>
      <c r="P24" s="234">
        <f t="shared" si="12"/>
        <v>0.20034246575342465</v>
      </c>
      <c r="Q24" s="234">
        <f t="shared" si="12"/>
        <v>0.20034246575342465</v>
      </c>
      <c r="R24" s="234">
        <f t="shared" si="12"/>
        <v>0.20034246575342465</v>
      </c>
      <c r="S24" s="234">
        <f t="shared" si="12"/>
        <v>0.20034246575342465</v>
      </c>
      <c r="T24" s="234">
        <f t="shared" si="12"/>
        <v>0.20034246575342465</v>
      </c>
      <c r="U24" s="234">
        <f t="shared" si="12"/>
        <v>0.20034246575342465</v>
      </c>
      <c r="V24" s="234">
        <f t="shared" si="12"/>
        <v>0.20034246575342465</v>
      </c>
      <c r="W24" s="234">
        <f t="shared" si="12"/>
        <v>0.20034246575342465</v>
      </c>
    </row>
    <row r="25" spans="1:26" x14ac:dyDescent="0.25">
      <c r="A25" s="22" t="s">
        <v>181</v>
      </c>
      <c r="D25" s="3">
        <f>1+D24</f>
        <v>1.1837499999999999</v>
      </c>
      <c r="E25" s="3">
        <f>D25*(1+E24)</f>
        <v>1.3909062499999998</v>
      </c>
      <c r="F25" s="3">
        <f t="shared" ref="F25:I25" si="13">E25*(1+F24)</f>
        <v>1.643587552083333</v>
      </c>
      <c r="G25" s="3">
        <f t="shared" si="13"/>
        <v>1.9539288405635122</v>
      </c>
      <c r="H25" s="3">
        <f t="shared" si="13"/>
        <v>2.3428409782811537</v>
      </c>
      <c r="I25" s="3">
        <f t="shared" si="13"/>
        <v>2.8122115167381656</v>
      </c>
      <c r="J25" s="3">
        <f t="shared" ref="J25" si="14">I25*(1+J24)</f>
        <v>3.3756169062216683</v>
      </c>
      <c r="K25" s="3">
        <f t="shared" ref="K25" si="15">J25*(1+K24)</f>
        <v>4.0518963206530643</v>
      </c>
      <c r="L25" s="3">
        <f t="shared" ref="L25:M25" si="16">K25*(1+L24)</f>
        <v>4.8636632205099284</v>
      </c>
      <c r="M25" s="3">
        <f t="shared" si="16"/>
        <v>5.8380615027011302</v>
      </c>
      <c r="N25" s="3">
        <f t="shared" ref="N25" si="17">M25*(1+N24)</f>
        <v>7.007673139372419</v>
      </c>
      <c r="O25" s="3">
        <f t="shared" ref="O25" si="18">N25*(1+O24)</f>
        <v>8.4116076553083321</v>
      </c>
      <c r="P25" s="3">
        <f t="shared" ref="P25:Q25" si="19">O25*(1+P24)</f>
        <v>10.096809873923187</v>
      </c>
      <c r="Q25" s="3">
        <f t="shared" si="19"/>
        <v>12.119629660308483</v>
      </c>
      <c r="R25" s="3">
        <f t="shared" ref="R25" si="20">Q25*(1+R24)</f>
        <v>14.547706150473026</v>
      </c>
      <c r="S25" s="3">
        <f t="shared" ref="S25" si="21">R25*(1+S24)</f>
        <v>17.462229471715055</v>
      </c>
      <c r="T25" s="3">
        <f t="shared" ref="T25:U25" si="22">S25*(1+T24)</f>
        <v>20.960655581630572</v>
      </c>
      <c r="U25" s="3">
        <f t="shared" si="22"/>
        <v>25.159965004662727</v>
      </c>
      <c r="V25" s="3">
        <f t="shared" ref="V25" si="23">U25*(1+V24)</f>
        <v>30.200574431966736</v>
      </c>
      <c r="W25" s="3">
        <f t="shared" ref="W25" si="24">V25*(1+W24)</f>
        <v>36.251031980836785</v>
      </c>
      <c r="X25" s="20" t="s">
        <v>182</v>
      </c>
      <c r="Z25" s="78"/>
    </row>
    <row r="26" spans="1:26" x14ac:dyDescent="0.25">
      <c r="F26" s="143"/>
      <c r="G26" s="143"/>
      <c r="H26" s="143"/>
      <c r="I26" s="143"/>
      <c r="J26" s="143"/>
      <c r="K26" s="143"/>
    </row>
    <row r="27" spans="1:26" x14ac:dyDescent="0.25">
      <c r="A27" s="163" t="s">
        <v>183</v>
      </c>
      <c r="D27"/>
      <c r="F27" s="143"/>
      <c r="G27" s="143"/>
      <c r="H27" s="143"/>
      <c r="I27" s="143"/>
      <c r="J27" s="143"/>
      <c r="K27" s="143"/>
    </row>
    <row r="28" spans="1:26" x14ac:dyDescent="0.25">
      <c r="A28" s="142" t="s">
        <v>184</v>
      </c>
      <c r="B28" s="142" t="s">
        <v>185</v>
      </c>
      <c r="D28" s="15">
        <v>1.1000000000000001</v>
      </c>
      <c r="E28" s="144" t="s">
        <v>186</v>
      </c>
    </row>
    <row r="29" spans="1:26" x14ac:dyDescent="0.25">
      <c r="D29"/>
    </row>
    <row r="30" spans="1:26" x14ac:dyDescent="0.25">
      <c r="A30" s="62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6" x14ac:dyDescent="0.25">
      <c r="A31" s="88" t="s">
        <v>187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6" x14ac:dyDescent="0.25">
      <c r="A32" s="62"/>
    </row>
    <row r="33" spans="1:46" x14ac:dyDescent="0.25">
      <c r="A33" s="62"/>
      <c r="C33" s="34" t="s">
        <v>188</v>
      </c>
      <c r="D33" s="223" cm="1">
        <f t="array" ref="D33:W33">years</f>
        <v>2018</v>
      </c>
      <c r="E33" s="224">
        <v>2019</v>
      </c>
      <c r="F33" s="224">
        <v>2020</v>
      </c>
      <c r="G33" s="224">
        <v>2021</v>
      </c>
      <c r="H33" s="224">
        <v>2022</v>
      </c>
      <c r="I33" s="224">
        <v>2023</v>
      </c>
      <c r="J33" s="224">
        <v>2024</v>
      </c>
      <c r="K33" s="224">
        <v>2025</v>
      </c>
      <c r="L33" s="224">
        <v>2026</v>
      </c>
      <c r="M33" s="224">
        <v>2027</v>
      </c>
      <c r="N33" s="224">
        <v>2028</v>
      </c>
      <c r="O33" s="224">
        <v>2029</v>
      </c>
      <c r="P33" s="224">
        <v>2030</v>
      </c>
      <c r="Q33" s="224">
        <v>2031</v>
      </c>
      <c r="R33" s="224">
        <v>2032</v>
      </c>
      <c r="S33" s="224">
        <v>2033</v>
      </c>
      <c r="T33" s="224">
        <v>2034</v>
      </c>
      <c r="U33" s="224">
        <v>2035</v>
      </c>
      <c r="V33" s="224">
        <v>2036</v>
      </c>
      <c r="W33" s="224">
        <v>2037</v>
      </c>
      <c r="Z33" s="223" cm="1">
        <f t="array" ref="Z33:AS33">years</f>
        <v>2018</v>
      </c>
      <c r="AA33" s="224">
        <v>2019</v>
      </c>
      <c r="AB33" s="224">
        <v>2020</v>
      </c>
      <c r="AC33" s="224">
        <v>2021</v>
      </c>
      <c r="AD33" s="224">
        <v>2022</v>
      </c>
      <c r="AE33" s="224">
        <v>2023</v>
      </c>
      <c r="AF33" s="224">
        <v>2024</v>
      </c>
      <c r="AG33" s="224">
        <v>2025</v>
      </c>
      <c r="AH33" s="224">
        <v>2026</v>
      </c>
      <c r="AI33" s="224">
        <v>2027</v>
      </c>
      <c r="AJ33" s="224">
        <v>2028</v>
      </c>
      <c r="AK33" s="224">
        <v>2029</v>
      </c>
      <c r="AL33" s="224">
        <v>2030</v>
      </c>
      <c r="AM33" s="224">
        <v>2031</v>
      </c>
      <c r="AN33" s="224">
        <v>2032</v>
      </c>
      <c r="AO33" s="224">
        <v>2033</v>
      </c>
      <c r="AP33" s="224">
        <v>2034</v>
      </c>
      <c r="AQ33" s="224">
        <v>2035</v>
      </c>
      <c r="AR33" s="224">
        <v>2036</v>
      </c>
      <c r="AS33" s="224">
        <v>2037</v>
      </c>
    </row>
    <row r="34" spans="1:46" x14ac:dyDescent="0.25">
      <c r="A34" s="47" t="str" cm="1">
        <f t="array" ref="A34:A49">core_elements</f>
        <v>Application server hardware</v>
      </c>
      <c r="B34" s="22"/>
      <c r="C34" s="22"/>
      <c r="D34" s="164" cm="1">
        <f t="array" ref="D34:W49">unit_costs_core_capex*core_increm</f>
        <v>5595258.7961985217</v>
      </c>
      <c r="E34" s="168">
        <v>0</v>
      </c>
      <c r="F34" s="168">
        <v>0</v>
      </c>
      <c r="G34" s="168">
        <v>0</v>
      </c>
      <c r="H34" s="168">
        <v>0</v>
      </c>
      <c r="I34" s="168">
        <v>0</v>
      </c>
      <c r="J34" s="168">
        <v>0</v>
      </c>
      <c r="K34" s="168">
        <v>0</v>
      </c>
      <c r="L34" s="168">
        <v>4385246.9258559486</v>
      </c>
      <c r="M34" s="164">
        <v>0</v>
      </c>
      <c r="N34" s="164">
        <v>4126078.8325378611</v>
      </c>
      <c r="O34" s="164">
        <v>4002296.4675617251</v>
      </c>
      <c r="P34" s="164">
        <v>3882227.5735348738</v>
      </c>
      <c r="Q34" s="164">
        <v>3765760.7463288275</v>
      </c>
      <c r="R34" s="164">
        <v>3652787.9239389626</v>
      </c>
      <c r="S34" s="164">
        <v>3543204.2862207936</v>
      </c>
      <c r="T34" s="164">
        <v>3436908.1576341698</v>
      </c>
      <c r="U34" s="164">
        <v>3333800.912905145</v>
      </c>
      <c r="V34" s="164">
        <v>3233786.8855179907</v>
      </c>
      <c r="W34" s="164">
        <v>3136773.2789524505</v>
      </c>
      <c r="Z34" s="164" cm="1">
        <f t="array" ref="Z34:AS49">unit_costs_core_capex*core_increm_noincoming</f>
        <v>5595258.7961985217</v>
      </c>
      <c r="AA34" s="168">
        <v>0</v>
      </c>
      <c r="AB34" s="168">
        <v>0</v>
      </c>
      <c r="AC34" s="168">
        <v>0</v>
      </c>
      <c r="AD34" s="168">
        <v>0</v>
      </c>
      <c r="AE34" s="168">
        <v>0</v>
      </c>
      <c r="AF34" s="168">
        <v>0</v>
      </c>
      <c r="AG34" s="168">
        <v>0</v>
      </c>
      <c r="AH34" s="168">
        <v>4385246.9258559486</v>
      </c>
      <c r="AI34" s="164">
        <v>0</v>
      </c>
      <c r="AJ34" s="164">
        <v>0</v>
      </c>
      <c r="AK34" s="164">
        <v>0</v>
      </c>
      <c r="AL34" s="164">
        <v>0</v>
      </c>
      <c r="AM34" s="164">
        <v>0</v>
      </c>
      <c r="AN34" s="164">
        <v>0</v>
      </c>
      <c r="AO34" s="164">
        <v>0</v>
      </c>
      <c r="AP34" s="164">
        <v>3436908.1576341698</v>
      </c>
      <c r="AQ34" s="164">
        <v>0</v>
      </c>
      <c r="AR34" s="164">
        <v>0</v>
      </c>
      <c r="AS34" s="164">
        <v>0</v>
      </c>
    </row>
    <row r="35" spans="1:46" x14ac:dyDescent="0.25">
      <c r="A35" s="47" t="str">
        <v>Application server software</v>
      </c>
      <c r="B35" s="22"/>
      <c r="C35" s="22"/>
      <c r="D35" s="164">
        <v>18184591.087645184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14252052.509031823</v>
      </c>
      <c r="M35" s="164">
        <v>13824490.933760868</v>
      </c>
      <c r="N35" s="164">
        <v>13409756.20574804</v>
      </c>
      <c r="O35" s="164">
        <v>13007463.5195756</v>
      </c>
      <c r="P35" s="164">
        <v>12617239.613988331</v>
      </c>
      <c r="Q35" s="164">
        <v>12238722.425568681</v>
      </c>
      <c r="R35" s="164">
        <v>11871560.752801621</v>
      </c>
      <c r="S35" s="164">
        <v>11515413.930217573</v>
      </c>
      <c r="T35" s="164">
        <v>11169951.512311045</v>
      </c>
      <c r="U35" s="164">
        <v>10834852.966941714</v>
      </c>
      <c r="V35" s="164">
        <v>10509807.377933463</v>
      </c>
      <c r="W35" s="164">
        <v>10194513.156595459</v>
      </c>
      <c r="Z35" s="164">
        <v>18184591.087645184</v>
      </c>
      <c r="AA35" s="164">
        <v>0</v>
      </c>
      <c r="AB35" s="164">
        <v>0</v>
      </c>
      <c r="AC35" s="164">
        <v>0</v>
      </c>
      <c r="AD35" s="164">
        <v>0</v>
      </c>
      <c r="AE35" s="164">
        <v>0</v>
      </c>
      <c r="AF35" s="164">
        <v>0</v>
      </c>
      <c r="AG35" s="164">
        <v>0</v>
      </c>
      <c r="AH35" s="164">
        <v>14252052.509031823</v>
      </c>
      <c r="AI35" s="164">
        <v>0</v>
      </c>
      <c r="AJ35" s="164">
        <v>0</v>
      </c>
      <c r="AK35" s="164">
        <v>0</v>
      </c>
      <c r="AL35" s="164">
        <v>0</v>
      </c>
      <c r="AM35" s="164">
        <v>0</v>
      </c>
      <c r="AN35" s="164">
        <v>0</v>
      </c>
      <c r="AO35" s="164">
        <v>0</v>
      </c>
      <c r="AP35" s="164">
        <v>11169951.512311045</v>
      </c>
      <c r="AQ35" s="164">
        <v>0</v>
      </c>
      <c r="AR35" s="164">
        <v>0</v>
      </c>
      <c r="AS35" s="164">
        <v>0</v>
      </c>
    </row>
    <row r="36" spans="1:46" x14ac:dyDescent="0.25">
      <c r="A36" s="47" t="str">
        <v>Charging data function hardware</v>
      </c>
      <c r="B36" s="22"/>
      <c r="C36" s="22"/>
      <c r="D36" s="164">
        <v>5595258.7961985217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4385246.9258559486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>
        <v>3436908.1576341698</v>
      </c>
      <c r="U36" s="164">
        <v>0</v>
      </c>
      <c r="V36" s="164">
        <v>0</v>
      </c>
      <c r="W36" s="164">
        <v>0</v>
      </c>
      <c r="Z36" s="164">
        <v>5595258.7961985217</v>
      </c>
      <c r="AA36" s="164">
        <v>0</v>
      </c>
      <c r="AB36" s="164">
        <v>0</v>
      </c>
      <c r="AC36" s="164">
        <v>0</v>
      </c>
      <c r="AD36" s="164">
        <v>0</v>
      </c>
      <c r="AE36" s="164">
        <v>0</v>
      </c>
      <c r="AF36" s="164">
        <v>0</v>
      </c>
      <c r="AG36" s="164">
        <v>0</v>
      </c>
      <c r="AH36" s="164">
        <v>4385246.9258559486</v>
      </c>
      <c r="AI36" s="164">
        <v>0</v>
      </c>
      <c r="AJ36" s="164">
        <v>0</v>
      </c>
      <c r="AK36" s="164">
        <v>0</v>
      </c>
      <c r="AL36" s="164">
        <v>0</v>
      </c>
      <c r="AM36" s="164">
        <v>0</v>
      </c>
      <c r="AN36" s="164">
        <v>0</v>
      </c>
      <c r="AO36" s="164">
        <v>0</v>
      </c>
      <c r="AP36" s="164">
        <v>3436908.1576341698</v>
      </c>
      <c r="AQ36" s="164">
        <v>0</v>
      </c>
      <c r="AR36" s="164">
        <v>0</v>
      </c>
      <c r="AS36" s="164">
        <v>0</v>
      </c>
    </row>
    <row r="37" spans="1:46" x14ac:dyDescent="0.25">
      <c r="A37" s="47" t="str">
        <v>Charging data function software</v>
      </c>
      <c r="B37" s="22"/>
      <c r="C37" s="22"/>
      <c r="D37" s="164">
        <v>12589332.291446662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9866805.5831758734</v>
      </c>
      <c r="M37" s="164">
        <v>0</v>
      </c>
      <c r="N37" s="164">
        <v>0</v>
      </c>
      <c r="O37" s="164">
        <v>0</v>
      </c>
      <c r="P37" s="164">
        <v>0</v>
      </c>
      <c r="Q37" s="164">
        <v>0</v>
      </c>
      <c r="R37" s="164">
        <v>0</v>
      </c>
      <c r="S37" s="164">
        <v>0</v>
      </c>
      <c r="T37" s="164">
        <v>7733043.3546768753</v>
      </c>
      <c r="U37" s="164">
        <v>0</v>
      </c>
      <c r="V37" s="164">
        <v>0</v>
      </c>
      <c r="W37" s="164">
        <v>0</v>
      </c>
      <c r="Z37" s="164">
        <v>12589332.291446662</v>
      </c>
      <c r="AA37" s="164">
        <v>0</v>
      </c>
      <c r="AB37" s="164">
        <v>0</v>
      </c>
      <c r="AC37" s="164">
        <v>0</v>
      </c>
      <c r="AD37" s="164">
        <v>0</v>
      </c>
      <c r="AE37" s="164">
        <v>0</v>
      </c>
      <c r="AF37" s="164">
        <v>0</v>
      </c>
      <c r="AG37" s="164">
        <v>0</v>
      </c>
      <c r="AH37" s="164">
        <v>9866805.5831758734</v>
      </c>
      <c r="AI37" s="164">
        <v>0</v>
      </c>
      <c r="AJ37" s="164">
        <v>0</v>
      </c>
      <c r="AK37" s="164">
        <v>0</v>
      </c>
      <c r="AL37" s="164">
        <v>0</v>
      </c>
      <c r="AM37" s="164">
        <v>0</v>
      </c>
      <c r="AN37" s="164">
        <v>0</v>
      </c>
      <c r="AO37" s="164">
        <v>0</v>
      </c>
      <c r="AP37" s="164">
        <v>7733043.3546768753</v>
      </c>
      <c r="AQ37" s="164">
        <v>0</v>
      </c>
      <c r="AR37" s="164">
        <v>0</v>
      </c>
      <c r="AS37" s="164">
        <v>0</v>
      </c>
    </row>
    <row r="38" spans="1:46" x14ac:dyDescent="0.25">
      <c r="A38" s="47" t="str">
        <v>Proxy - Call session control function hardware</v>
      </c>
      <c r="B38" s="22"/>
      <c r="C38" s="22"/>
      <c r="D38" s="164">
        <v>25178664.582893323</v>
      </c>
      <c r="E38" s="164">
        <v>0</v>
      </c>
      <c r="F38" s="164">
        <v>0</v>
      </c>
      <c r="G38" s="164">
        <v>0</v>
      </c>
      <c r="H38" s="164">
        <v>0</v>
      </c>
      <c r="I38" s="164">
        <v>0</v>
      </c>
      <c r="J38" s="164">
        <v>0</v>
      </c>
      <c r="K38" s="164">
        <v>0</v>
      </c>
      <c r="L38" s="164">
        <v>19733611.166351747</v>
      </c>
      <c r="M38" s="164">
        <v>0</v>
      </c>
      <c r="N38" s="164">
        <v>0</v>
      </c>
      <c r="O38" s="164">
        <v>0</v>
      </c>
      <c r="P38" s="164">
        <v>0</v>
      </c>
      <c r="Q38" s="164">
        <v>0</v>
      </c>
      <c r="R38" s="164">
        <v>0</v>
      </c>
      <c r="S38" s="164">
        <v>0</v>
      </c>
      <c r="T38" s="164">
        <v>15466086.709353751</v>
      </c>
      <c r="U38" s="164">
        <v>0</v>
      </c>
      <c r="V38" s="164">
        <v>0</v>
      </c>
      <c r="W38" s="164">
        <v>0</v>
      </c>
      <c r="Z38" s="164">
        <v>25178664.582893323</v>
      </c>
      <c r="AA38" s="164">
        <v>0</v>
      </c>
      <c r="AB38" s="164">
        <v>0</v>
      </c>
      <c r="AC38" s="164">
        <v>0</v>
      </c>
      <c r="AD38" s="164">
        <v>0</v>
      </c>
      <c r="AE38" s="164">
        <v>0</v>
      </c>
      <c r="AF38" s="164">
        <v>0</v>
      </c>
      <c r="AG38" s="164">
        <v>0</v>
      </c>
      <c r="AH38" s="164">
        <v>19733611.166351747</v>
      </c>
      <c r="AI38" s="164">
        <v>0</v>
      </c>
      <c r="AJ38" s="164">
        <v>0</v>
      </c>
      <c r="AK38" s="164">
        <v>0</v>
      </c>
      <c r="AL38" s="164">
        <v>0</v>
      </c>
      <c r="AM38" s="164">
        <v>0</v>
      </c>
      <c r="AN38" s="164">
        <v>0</v>
      </c>
      <c r="AO38" s="164">
        <v>0</v>
      </c>
      <c r="AP38" s="164">
        <v>15466086.709353751</v>
      </c>
      <c r="AQ38" s="164">
        <v>0</v>
      </c>
      <c r="AR38" s="164">
        <v>0</v>
      </c>
      <c r="AS38" s="164">
        <v>0</v>
      </c>
    </row>
    <row r="39" spans="1:46" x14ac:dyDescent="0.25">
      <c r="A39" s="47" t="str">
        <v>Proxy - Call session control function software</v>
      </c>
      <c r="B39" s="22"/>
      <c r="C39" s="22"/>
      <c r="D39" s="164">
        <v>11190517.592397043</v>
      </c>
      <c r="E39" s="164">
        <v>0</v>
      </c>
      <c r="F39" s="164">
        <v>0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4">
        <v>8770493.8517118972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6873816.3152683396</v>
      </c>
      <c r="U39" s="164">
        <v>0</v>
      </c>
      <c r="V39" s="164">
        <v>0</v>
      </c>
      <c r="W39" s="164">
        <v>0</v>
      </c>
      <c r="Z39" s="164">
        <v>11190517.592397043</v>
      </c>
      <c r="AA39" s="164">
        <v>0</v>
      </c>
      <c r="AB39" s="164">
        <v>0</v>
      </c>
      <c r="AC39" s="164">
        <v>0</v>
      </c>
      <c r="AD39" s="164">
        <v>0</v>
      </c>
      <c r="AE39" s="164">
        <v>0</v>
      </c>
      <c r="AF39" s="164">
        <v>0</v>
      </c>
      <c r="AG39" s="164">
        <v>0</v>
      </c>
      <c r="AH39" s="164">
        <v>8770493.8517118972</v>
      </c>
      <c r="AI39" s="164">
        <v>0</v>
      </c>
      <c r="AJ39" s="164">
        <v>0</v>
      </c>
      <c r="AK39" s="164">
        <v>0</v>
      </c>
      <c r="AL39" s="164">
        <v>0</v>
      </c>
      <c r="AM39" s="164">
        <v>0</v>
      </c>
      <c r="AN39" s="164">
        <v>0</v>
      </c>
      <c r="AO39" s="164">
        <v>0</v>
      </c>
      <c r="AP39" s="164">
        <v>6873816.3152683396</v>
      </c>
      <c r="AQ39" s="164">
        <v>0</v>
      </c>
      <c r="AR39" s="164">
        <v>0</v>
      </c>
      <c r="AS39" s="164">
        <v>0</v>
      </c>
    </row>
    <row r="40" spans="1:46" x14ac:dyDescent="0.25">
      <c r="A40" s="47" t="str">
        <v>Interrogating - Call session control function hardware</v>
      </c>
      <c r="B40" s="22"/>
      <c r="C40" s="22"/>
      <c r="D40" s="164">
        <v>25178664.582893323</v>
      </c>
      <c r="E40" s="164">
        <v>0</v>
      </c>
      <c r="F40" s="164">
        <v>0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4">
        <v>19733611.166351747</v>
      </c>
      <c r="M40" s="164">
        <v>0</v>
      </c>
      <c r="N40" s="164">
        <v>0</v>
      </c>
      <c r="O40" s="164">
        <v>0</v>
      </c>
      <c r="P40" s="164">
        <v>0</v>
      </c>
      <c r="Q40" s="164">
        <v>0</v>
      </c>
      <c r="R40" s="164">
        <v>0</v>
      </c>
      <c r="S40" s="164">
        <v>0</v>
      </c>
      <c r="T40" s="164">
        <v>15466086.709353751</v>
      </c>
      <c r="U40" s="164">
        <v>0</v>
      </c>
      <c r="V40" s="164">
        <v>0</v>
      </c>
      <c r="W40" s="164">
        <v>0</v>
      </c>
      <c r="Z40" s="164">
        <v>25178664.582893323</v>
      </c>
      <c r="AA40" s="164">
        <v>0</v>
      </c>
      <c r="AB40" s="164">
        <v>0</v>
      </c>
      <c r="AC40" s="164">
        <v>0</v>
      </c>
      <c r="AD40" s="164">
        <v>0</v>
      </c>
      <c r="AE40" s="164">
        <v>0</v>
      </c>
      <c r="AF40" s="164">
        <v>0</v>
      </c>
      <c r="AG40" s="164">
        <v>0</v>
      </c>
      <c r="AH40" s="164">
        <v>19733611.166351747</v>
      </c>
      <c r="AI40" s="164">
        <v>0</v>
      </c>
      <c r="AJ40" s="164">
        <v>0</v>
      </c>
      <c r="AK40" s="164">
        <v>0</v>
      </c>
      <c r="AL40" s="164">
        <v>0</v>
      </c>
      <c r="AM40" s="164">
        <v>0</v>
      </c>
      <c r="AN40" s="164">
        <v>0</v>
      </c>
      <c r="AO40" s="164">
        <v>0</v>
      </c>
      <c r="AP40" s="164">
        <v>15466086.709353751</v>
      </c>
      <c r="AQ40" s="164">
        <v>0</v>
      </c>
      <c r="AR40" s="164">
        <v>0</v>
      </c>
      <c r="AS40" s="164">
        <v>0</v>
      </c>
    </row>
    <row r="41" spans="1:46" x14ac:dyDescent="0.25">
      <c r="A41" s="47" t="str">
        <v>Interrogating - Call session control function software</v>
      </c>
      <c r="B41" s="22"/>
      <c r="C41" s="22"/>
      <c r="D41" s="164">
        <v>11190517.592397043</v>
      </c>
      <c r="E41" s="164">
        <v>0</v>
      </c>
      <c r="F41" s="164">
        <v>0</v>
      </c>
      <c r="G41" s="164">
        <v>0</v>
      </c>
      <c r="H41" s="164">
        <v>0</v>
      </c>
      <c r="I41" s="164">
        <v>0</v>
      </c>
      <c r="J41" s="164">
        <v>0</v>
      </c>
      <c r="K41" s="164">
        <v>0</v>
      </c>
      <c r="L41" s="164">
        <v>8770493.8517118972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6873816.3152683396</v>
      </c>
      <c r="U41" s="164">
        <v>0</v>
      </c>
      <c r="V41" s="164">
        <v>0</v>
      </c>
      <c r="W41" s="164">
        <v>0</v>
      </c>
      <c r="Z41" s="164">
        <v>11190517.592397043</v>
      </c>
      <c r="AA41" s="164">
        <v>0</v>
      </c>
      <c r="AB41" s="164">
        <v>0</v>
      </c>
      <c r="AC41" s="164">
        <v>0</v>
      </c>
      <c r="AD41" s="164">
        <v>0</v>
      </c>
      <c r="AE41" s="164">
        <v>0</v>
      </c>
      <c r="AF41" s="164">
        <v>0</v>
      </c>
      <c r="AG41" s="164">
        <v>0</v>
      </c>
      <c r="AH41" s="164">
        <v>8770493.8517118972</v>
      </c>
      <c r="AI41" s="164">
        <v>0</v>
      </c>
      <c r="AJ41" s="164">
        <v>0</v>
      </c>
      <c r="AK41" s="164">
        <v>0</v>
      </c>
      <c r="AL41" s="164">
        <v>0</v>
      </c>
      <c r="AM41" s="164">
        <v>0</v>
      </c>
      <c r="AN41" s="164">
        <v>0</v>
      </c>
      <c r="AO41" s="164">
        <v>0</v>
      </c>
      <c r="AP41" s="164">
        <v>6873816.3152683396</v>
      </c>
      <c r="AQ41" s="164">
        <v>0</v>
      </c>
      <c r="AR41" s="164">
        <v>0</v>
      </c>
      <c r="AS41" s="164">
        <v>0</v>
      </c>
    </row>
    <row r="42" spans="1:46" x14ac:dyDescent="0.25">
      <c r="A42" s="47" t="str">
        <v>Serving - Call session control function hardware</v>
      </c>
      <c r="B42" s="22"/>
      <c r="C42" s="22"/>
      <c r="D42" s="164">
        <v>2098222.0485744444</v>
      </c>
      <c r="E42" s="164">
        <v>0</v>
      </c>
      <c r="F42" s="164">
        <v>0</v>
      </c>
      <c r="G42" s="164">
        <v>0</v>
      </c>
      <c r="H42" s="164">
        <v>0</v>
      </c>
      <c r="I42" s="164">
        <v>0</v>
      </c>
      <c r="J42" s="164">
        <v>0</v>
      </c>
      <c r="K42" s="164">
        <v>0</v>
      </c>
      <c r="L42" s="164">
        <v>1644467.5971959797</v>
      </c>
      <c r="M42" s="164">
        <v>0</v>
      </c>
      <c r="N42" s="164">
        <v>0</v>
      </c>
      <c r="O42" s="164">
        <v>0</v>
      </c>
      <c r="P42" s="164">
        <v>0</v>
      </c>
      <c r="Q42" s="164">
        <v>0</v>
      </c>
      <c r="R42" s="164">
        <v>0</v>
      </c>
      <c r="S42" s="164">
        <v>0</v>
      </c>
      <c r="T42" s="164">
        <v>1288840.5591128129</v>
      </c>
      <c r="U42" s="164">
        <v>0</v>
      </c>
      <c r="V42" s="164">
        <v>0</v>
      </c>
      <c r="W42" s="164">
        <v>0</v>
      </c>
      <c r="Z42" s="164">
        <v>2098222.0485744444</v>
      </c>
      <c r="AA42" s="164">
        <v>0</v>
      </c>
      <c r="AB42" s="164">
        <v>0</v>
      </c>
      <c r="AC42" s="164">
        <v>0</v>
      </c>
      <c r="AD42" s="164">
        <v>0</v>
      </c>
      <c r="AE42" s="164">
        <v>0</v>
      </c>
      <c r="AF42" s="164">
        <v>0</v>
      </c>
      <c r="AG42" s="164">
        <v>0</v>
      </c>
      <c r="AH42" s="164">
        <v>1644467.5971959797</v>
      </c>
      <c r="AI42" s="164">
        <v>0</v>
      </c>
      <c r="AJ42" s="164">
        <v>0</v>
      </c>
      <c r="AK42" s="164">
        <v>0</v>
      </c>
      <c r="AL42" s="164">
        <v>0</v>
      </c>
      <c r="AM42" s="164">
        <v>0</v>
      </c>
      <c r="AN42" s="164">
        <v>0</v>
      </c>
      <c r="AO42" s="164">
        <v>0</v>
      </c>
      <c r="AP42" s="164">
        <v>1288840.5591128129</v>
      </c>
      <c r="AQ42" s="164">
        <v>0</v>
      </c>
      <c r="AR42" s="164">
        <v>0</v>
      </c>
      <c r="AS42" s="164">
        <v>0</v>
      </c>
    </row>
    <row r="43" spans="1:46" x14ac:dyDescent="0.25">
      <c r="A43" s="47" t="str">
        <v>Serving - Call session control function software</v>
      </c>
      <c r="B43" s="22"/>
      <c r="C43" s="22"/>
      <c r="D43" s="164">
        <v>13988146.990496306</v>
      </c>
      <c r="E43" s="164">
        <v>0</v>
      </c>
      <c r="F43" s="164">
        <v>0</v>
      </c>
      <c r="G43" s="164">
        <v>0</v>
      </c>
      <c r="H43" s="164">
        <v>0</v>
      </c>
      <c r="I43" s="164">
        <v>0</v>
      </c>
      <c r="J43" s="164">
        <v>0</v>
      </c>
      <c r="K43" s="164">
        <v>0</v>
      </c>
      <c r="L43" s="164">
        <v>10963117.314639872</v>
      </c>
      <c r="M43" s="164">
        <v>0</v>
      </c>
      <c r="N43" s="164">
        <v>0</v>
      </c>
      <c r="O43" s="164">
        <v>0</v>
      </c>
      <c r="P43" s="164">
        <v>0</v>
      </c>
      <c r="Q43" s="164">
        <v>0</v>
      </c>
      <c r="R43" s="164">
        <v>0</v>
      </c>
      <c r="S43" s="164">
        <v>0</v>
      </c>
      <c r="T43" s="164">
        <v>8592270.3940854259</v>
      </c>
      <c r="U43" s="164">
        <v>0</v>
      </c>
      <c r="V43" s="164">
        <v>0</v>
      </c>
      <c r="W43" s="164">
        <v>0</v>
      </c>
      <c r="Z43" s="164">
        <v>13988146.990496306</v>
      </c>
      <c r="AA43" s="164">
        <v>0</v>
      </c>
      <c r="AB43" s="164">
        <v>0</v>
      </c>
      <c r="AC43" s="164">
        <v>0</v>
      </c>
      <c r="AD43" s="164">
        <v>0</v>
      </c>
      <c r="AE43" s="164">
        <v>0</v>
      </c>
      <c r="AF43" s="164">
        <v>0</v>
      </c>
      <c r="AG43" s="164">
        <v>0</v>
      </c>
      <c r="AH43" s="164">
        <v>10963117.314639872</v>
      </c>
      <c r="AI43" s="164">
        <v>0</v>
      </c>
      <c r="AJ43" s="164">
        <v>0</v>
      </c>
      <c r="AK43" s="164">
        <v>0</v>
      </c>
      <c r="AL43" s="164">
        <v>0</v>
      </c>
      <c r="AM43" s="164">
        <v>0</v>
      </c>
      <c r="AN43" s="164">
        <v>0</v>
      </c>
      <c r="AO43" s="164">
        <v>0</v>
      </c>
      <c r="AP43" s="164">
        <v>8592270.3940854259</v>
      </c>
      <c r="AQ43" s="164">
        <v>0</v>
      </c>
      <c r="AR43" s="164">
        <v>0</v>
      </c>
      <c r="AS43" s="164">
        <v>0</v>
      </c>
    </row>
    <row r="44" spans="1:46" x14ac:dyDescent="0.25">
      <c r="A44" s="47" t="str">
        <v>Media resource function - hardware</v>
      </c>
      <c r="B44" s="22"/>
      <c r="C44" s="22"/>
      <c r="D44" s="164">
        <v>17625065.208025344</v>
      </c>
      <c r="E44" s="164">
        <v>271370.0516156283</v>
      </c>
      <c r="F44" s="164">
        <v>789686.85020147823</v>
      </c>
      <c r="G44" s="164">
        <v>0</v>
      </c>
      <c r="H44" s="164">
        <v>0</v>
      </c>
      <c r="I44" s="164">
        <v>240241.95554464459</v>
      </c>
      <c r="J44" s="164">
        <v>0</v>
      </c>
      <c r="K44" s="164">
        <v>0</v>
      </c>
      <c r="L44" s="164">
        <v>14032790.162739035</v>
      </c>
      <c r="M44" s="164">
        <v>212684.47590401347</v>
      </c>
      <c r="N44" s="164">
        <v>618911.82488067914</v>
      </c>
      <c r="O44" s="164">
        <v>200114.82337808626</v>
      </c>
      <c r="P44" s="164">
        <v>0</v>
      </c>
      <c r="Q44" s="164">
        <v>188288.03731644139</v>
      </c>
      <c r="R44" s="164">
        <v>182639.39619694813</v>
      </c>
      <c r="S44" s="164">
        <v>0</v>
      </c>
      <c r="T44" s="164">
        <v>10998106.104429344</v>
      </c>
      <c r="U44" s="164">
        <v>333380.09129051451</v>
      </c>
      <c r="V44" s="164">
        <v>485068.03282769857</v>
      </c>
      <c r="W44" s="164">
        <v>156838.66394762252</v>
      </c>
      <c r="Z44" s="164">
        <v>8392888.1942977831</v>
      </c>
      <c r="AA44" s="164">
        <v>-271370.0516156283</v>
      </c>
      <c r="AB44" s="164">
        <v>-526457.90013431886</v>
      </c>
      <c r="AC44" s="164">
        <v>-510664.16313028929</v>
      </c>
      <c r="AD44" s="164">
        <v>0</v>
      </c>
      <c r="AE44" s="164">
        <v>0</v>
      </c>
      <c r="AF44" s="164">
        <v>0</v>
      </c>
      <c r="AG44" s="164">
        <v>226043.65597195609</v>
      </c>
      <c r="AH44" s="164">
        <v>6577870.3887839224</v>
      </c>
      <c r="AI44" s="164">
        <v>-212684.47590401347</v>
      </c>
      <c r="AJ44" s="164">
        <v>-412607.88325378613</v>
      </c>
      <c r="AK44" s="164">
        <v>-400229.64675617253</v>
      </c>
      <c r="AL44" s="164">
        <v>0</v>
      </c>
      <c r="AM44" s="164">
        <v>0</v>
      </c>
      <c r="AN44" s="164">
        <v>0</v>
      </c>
      <c r="AO44" s="164">
        <v>354320.42862207937</v>
      </c>
      <c r="AP44" s="164">
        <v>5155362.2364512552</v>
      </c>
      <c r="AQ44" s="164">
        <v>-166690.04564525725</v>
      </c>
      <c r="AR44" s="164">
        <v>-323378.68855179904</v>
      </c>
      <c r="AS44" s="164">
        <v>-313677.32789524505</v>
      </c>
    </row>
    <row r="45" spans="1:46" x14ac:dyDescent="0.25">
      <c r="A45" s="47" t="str">
        <v>Media resource function - software</v>
      </c>
      <c r="B45" s="22"/>
      <c r="C45" s="22"/>
      <c r="D45" s="164">
        <v>10071465.833157338</v>
      </c>
      <c r="E45" s="164">
        <v>135685.02580781415</v>
      </c>
      <c r="F45" s="164">
        <v>394843.42510073911</v>
      </c>
      <c r="G45" s="164">
        <v>0</v>
      </c>
      <c r="H45" s="164">
        <v>0</v>
      </c>
      <c r="I45" s="164">
        <v>120120.97777232229</v>
      </c>
      <c r="J45" s="164">
        <v>0</v>
      </c>
      <c r="K45" s="164">
        <v>113021.82798597805</v>
      </c>
      <c r="L45" s="164">
        <v>7893444.4665407073</v>
      </c>
      <c r="M45" s="164">
        <v>106342.23795200673</v>
      </c>
      <c r="N45" s="164">
        <v>412607.88325378613</v>
      </c>
      <c r="O45" s="164">
        <v>0</v>
      </c>
      <c r="P45" s="164">
        <v>0</v>
      </c>
      <c r="Q45" s="164">
        <v>188288.03731644139</v>
      </c>
      <c r="R45" s="164">
        <v>0</v>
      </c>
      <c r="S45" s="164">
        <v>177160.21431103969</v>
      </c>
      <c r="T45" s="164">
        <v>6186434.6837415062</v>
      </c>
      <c r="U45" s="164">
        <v>83345.022822628627</v>
      </c>
      <c r="V45" s="164">
        <v>404223.36068974878</v>
      </c>
      <c r="W45" s="164">
        <v>0</v>
      </c>
      <c r="Z45" s="164">
        <v>4755969.9767687432</v>
      </c>
      <c r="AA45" s="164">
        <v>-135685.02580781415</v>
      </c>
      <c r="AB45" s="164">
        <v>-263228.95006715943</v>
      </c>
      <c r="AC45" s="164">
        <v>-255332.08156514465</v>
      </c>
      <c r="AD45" s="164">
        <v>0</v>
      </c>
      <c r="AE45" s="164">
        <v>0</v>
      </c>
      <c r="AF45" s="164">
        <v>0</v>
      </c>
      <c r="AG45" s="164">
        <v>0</v>
      </c>
      <c r="AH45" s="164">
        <v>3727459.8869775562</v>
      </c>
      <c r="AI45" s="164">
        <v>-106342.23795200673</v>
      </c>
      <c r="AJ45" s="164">
        <v>-103151.97081344653</v>
      </c>
      <c r="AK45" s="164">
        <v>-200114.82337808626</v>
      </c>
      <c r="AL45" s="164">
        <v>0</v>
      </c>
      <c r="AM45" s="164">
        <v>0</v>
      </c>
      <c r="AN45" s="164">
        <v>0</v>
      </c>
      <c r="AO45" s="164">
        <v>0</v>
      </c>
      <c r="AP45" s="164">
        <v>3007294.6379298987</v>
      </c>
      <c r="AQ45" s="164">
        <v>-83345.022822628627</v>
      </c>
      <c r="AR45" s="164">
        <v>-80844.672137949761</v>
      </c>
      <c r="AS45" s="164">
        <v>-156838.66394762252</v>
      </c>
      <c r="AT45" s="20"/>
    </row>
    <row r="46" spans="1:46" x14ac:dyDescent="0.25">
      <c r="A46" s="47" t="str">
        <v>Access session border controller - hardware</v>
      </c>
      <c r="B46" s="22"/>
      <c r="C46" s="22"/>
      <c r="D46" s="164">
        <v>4895851.4466736978</v>
      </c>
      <c r="E46" s="164">
        <v>0</v>
      </c>
      <c r="F46" s="164">
        <v>0</v>
      </c>
      <c r="G46" s="164">
        <v>0</v>
      </c>
      <c r="H46" s="164">
        <v>0</v>
      </c>
      <c r="I46" s="164">
        <v>0</v>
      </c>
      <c r="J46" s="164">
        <v>0</v>
      </c>
      <c r="K46" s="164">
        <v>0</v>
      </c>
      <c r="L46" s="164">
        <v>3837091.0601239474</v>
      </c>
      <c r="M46" s="164">
        <v>0</v>
      </c>
      <c r="N46" s="164">
        <v>0</v>
      </c>
      <c r="O46" s="164">
        <v>0</v>
      </c>
      <c r="P46" s="164">
        <v>0</v>
      </c>
      <c r="Q46" s="164">
        <v>0</v>
      </c>
      <c r="R46" s="164">
        <v>0</v>
      </c>
      <c r="S46" s="164">
        <v>0</v>
      </c>
      <c r="T46" s="164">
        <v>3007294.6379298931</v>
      </c>
      <c r="U46" s="164">
        <v>0</v>
      </c>
      <c r="V46" s="164">
        <v>0</v>
      </c>
      <c r="W46" s="164">
        <v>0</v>
      </c>
      <c r="X46" s="20"/>
      <c r="Z46" s="164">
        <v>2098222.048574442</v>
      </c>
      <c r="AA46" s="164">
        <v>0</v>
      </c>
      <c r="AB46" s="164">
        <v>0</v>
      </c>
      <c r="AC46" s="164">
        <v>0</v>
      </c>
      <c r="AD46" s="164">
        <v>0</v>
      </c>
      <c r="AE46" s="164">
        <v>0</v>
      </c>
      <c r="AF46" s="164">
        <v>0</v>
      </c>
      <c r="AG46" s="164">
        <v>0</v>
      </c>
      <c r="AH46" s="164">
        <v>1644467.5971959776</v>
      </c>
      <c r="AI46" s="164">
        <v>0</v>
      </c>
      <c r="AJ46" s="164">
        <v>0</v>
      </c>
      <c r="AK46" s="164">
        <v>0</v>
      </c>
      <c r="AL46" s="164">
        <v>0</v>
      </c>
      <c r="AM46" s="164">
        <v>0</v>
      </c>
      <c r="AN46" s="164">
        <v>0</v>
      </c>
      <c r="AO46" s="164">
        <v>0</v>
      </c>
      <c r="AP46" s="164">
        <v>1288840.5591128115</v>
      </c>
      <c r="AQ46" s="164">
        <v>0</v>
      </c>
      <c r="AR46" s="164">
        <v>0</v>
      </c>
      <c r="AS46" s="164">
        <v>0</v>
      </c>
      <c r="AT46" s="20"/>
    </row>
    <row r="47" spans="1:46" x14ac:dyDescent="0.25">
      <c r="A47" s="47" t="str">
        <v>Access session border controller - software</v>
      </c>
      <c r="B47" s="22"/>
      <c r="C47" s="22"/>
      <c r="D47" s="164">
        <v>22031331.510031719</v>
      </c>
      <c r="E47" s="164">
        <v>339212.56451953598</v>
      </c>
      <c r="F47" s="164">
        <v>987108.56275184965</v>
      </c>
      <c r="G47" s="164">
        <v>0</v>
      </c>
      <c r="H47" s="164">
        <v>0</v>
      </c>
      <c r="I47" s="164">
        <v>300302.44443080627</v>
      </c>
      <c r="J47" s="164">
        <v>0</v>
      </c>
      <c r="K47" s="164">
        <v>0</v>
      </c>
      <c r="L47" s="164">
        <v>18637299.434887812</v>
      </c>
      <c r="M47" s="164">
        <v>265855.59488001734</v>
      </c>
      <c r="N47" s="164">
        <v>773639.78110085044</v>
      </c>
      <c r="O47" s="164">
        <v>250143.52922260828</v>
      </c>
      <c r="P47" s="164">
        <v>0</v>
      </c>
      <c r="Q47" s="164">
        <v>235360.04664555215</v>
      </c>
      <c r="R47" s="164">
        <v>228299.24524618557</v>
      </c>
      <c r="S47" s="164">
        <v>0</v>
      </c>
      <c r="T47" s="164">
        <v>14821666.429797385</v>
      </c>
      <c r="U47" s="164">
        <v>416725.11411314388</v>
      </c>
      <c r="V47" s="164">
        <v>606335.04103462433</v>
      </c>
      <c r="W47" s="164">
        <v>196048.32993452853</v>
      </c>
      <c r="X47" s="20"/>
      <c r="Z47" s="164">
        <v>10491110.242872247</v>
      </c>
      <c r="AA47" s="164">
        <v>-339212.56451953598</v>
      </c>
      <c r="AB47" s="164">
        <v>-658072.37516789977</v>
      </c>
      <c r="AC47" s="164">
        <v>-638330.20391286281</v>
      </c>
      <c r="AD47" s="164">
        <v>0</v>
      </c>
      <c r="AE47" s="164">
        <v>0</v>
      </c>
      <c r="AF47" s="164">
        <v>0</v>
      </c>
      <c r="AG47" s="164">
        <v>282554.56996494567</v>
      </c>
      <c r="AH47" s="164">
        <v>8222337.9859799175</v>
      </c>
      <c r="AI47" s="164">
        <v>-265855.59488001734</v>
      </c>
      <c r="AJ47" s="164">
        <v>-515759.85406723362</v>
      </c>
      <c r="AK47" s="164">
        <v>-500287.05844521656</v>
      </c>
      <c r="AL47" s="164">
        <v>0</v>
      </c>
      <c r="AM47" s="164">
        <v>0</v>
      </c>
      <c r="AN47" s="164">
        <v>0</v>
      </c>
      <c r="AO47" s="164">
        <v>442900.53577760002</v>
      </c>
      <c r="AP47" s="164">
        <v>6444202.7955640806</v>
      </c>
      <c r="AQ47" s="164">
        <v>-208362.55705657194</v>
      </c>
      <c r="AR47" s="164">
        <v>-404223.36068974953</v>
      </c>
      <c r="AS47" s="164">
        <v>-392096.65986905707</v>
      </c>
      <c r="AT47" s="20"/>
    </row>
    <row r="48" spans="1:46" x14ac:dyDescent="0.25">
      <c r="A48" s="47" t="str">
        <v>Internet exchange point session border controller - hardware</v>
      </c>
      <c r="B48" s="22"/>
      <c r="C48" s="22"/>
      <c r="D48" s="164">
        <v>3147333.0728616584</v>
      </c>
      <c r="E48" s="164">
        <v>0</v>
      </c>
      <c r="F48" s="164">
        <v>0</v>
      </c>
      <c r="G48" s="164">
        <v>0</v>
      </c>
      <c r="H48" s="164">
        <v>0</v>
      </c>
      <c r="I48" s="164">
        <v>0</v>
      </c>
      <c r="J48" s="164">
        <v>0</v>
      </c>
      <c r="K48" s="164">
        <v>0</v>
      </c>
      <c r="L48" s="164">
        <v>2466701.3957939628</v>
      </c>
      <c r="M48" s="164">
        <v>0</v>
      </c>
      <c r="N48" s="164">
        <v>0</v>
      </c>
      <c r="O48" s="164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1933260.8386692144</v>
      </c>
      <c r="U48" s="164">
        <v>0</v>
      </c>
      <c r="V48" s="164">
        <v>0</v>
      </c>
      <c r="W48" s="164">
        <v>0</v>
      </c>
      <c r="X48" s="20"/>
      <c r="Z48" s="164">
        <v>1049111.0242872194</v>
      </c>
      <c r="AA48" s="164">
        <v>0</v>
      </c>
      <c r="AB48" s="164">
        <v>0</v>
      </c>
      <c r="AC48" s="164">
        <v>0</v>
      </c>
      <c r="AD48" s="164">
        <v>0</v>
      </c>
      <c r="AE48" s="164">
        <v>0</v>
      </c>
      <c r="AF48" s="164">
        <v>0</v>
      </c>
      <c r="AG48" s="164">
        <v>0</v>
      </c>
      <c r="AH48" s="164">
        <v>822233.79859798762</v>
      </c>
      <c r="AI48" s="164">
        <v>0</v>
      </c>
      <c r="AJ48" s="164">
        <v>0</v>
      </c>
      <c r="AK48" s="164">
        <v>0</v>
      </c>
      <c r="AL48" s="164">
        <v>0</v>
      </c>
      <c r="AM48" s="164">
        <v>0</v>
      </c>
      <c r="AN48" s="164">
        <v>0</v>
      </c>
      <c r="AO48" s="164">
        <v>0</v>
      </c>
      <c r="AP48" s="164">
        <v>644420.2795564048</v>
      </c>
      <c r="AQ48" s="164">
        <v>0</v>
      </c>
      <c r="AR48" s="164">
        <v>0</v>
      </c>
      <c r="AS48" s="164">
        <v>0</v>
      </c>
      <c r="AT48" s="20"/>
    </row>
    <row r="49" spans="1:46" x14ac:dyDescent="0.25">
      <c r="A49" s="47" t="str">
        <v>Internet exchange point session border controller - software</v>
      </c>
      <c r="B49" s="22"/>
      <c r="C49" s="22"/>
      <c r="D49" s="164">
        <v>11540221.267159443</v>
      </c>
      <c r="E49" s="164">
        <v>0</v>
      </c>
      <c r="F49" s="164">
        <v>987108.56275184732</v>
      </c>
      <c r="G49" s="164">
        <v>0</v>
      </c>
      <c r="H49" s="164">
        <v>0</v>
      </c>
      <c r="I49" s="164">
        <v>0</v>
      </c>
      <c r="J49" s="164">
        <v>0</v>
      </c>
      <c r="K49" s="164">
        <v>0</v>
      </c>
      <c r="L49" s="164">
        <v>9866805.583175879</v>
      </c>
      <c r="M49" s="164">
        <v>0</v>
      </c>
      <c r="N49" s="164">
        <v>773639.78110084857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7733043.3546768771</v>
      </c>
      <c r="U49" s="164">
        <v>0</v>
      </c>
      <c r="V49" s="164">
        <v>606335.04103462282</v>
      </c>
      <c r="W49" s="164">
        <v>0</v>
      </c>
      <c r="X49" s="20" t="s">
        <v>189</v>
      </c>
      <c r="Z49" s="164">
        <v>4196444.0971488887</v>
      </c>
      <c r="AA49" s="164">
        <v>0</v>
      </c>
      <c r="AB49" s="164">
        <v>0</v>
      </c>
      <c r="AC49" s="164">
        <v>0</v>
      </c>
      <c r="AD49" s="164">
        <v>0</v>
      </c>
      <c r="AE49" s="164">
        <v>0</v>
      </c>
      <c r="AF49" s="164">
        <v>0</v>
      </c>
      <c r="AG49" s="164">
        <v>0</v>
      </c>
      <c r="AH49" s="164">
        <v>3288935.1943919593</v>
      </c>
      <c r="AI49" s="164">
        <v>0</v>
      </c>
      <c r="AJ49" s="164">
        <v>0</v>
      </c>
      <c r="AK49" s="164">
        <v>0</v>
      </c>
      <c r="AL49" s="164">
        <v>0</v>
      </c>
      <c r="AM49" s="164">
        <v>0</v>
      </c>
      <c r="AN49" s="164">
        <v>0</v>
      </c>
      <c r="AO49" s="164">
        <v>0</v>
      </c>
      <c r="AP49" s="164">
        <v>2577681.1182256257</v>
      </c>
      <c r="AQ49" s="164">
        <v>0</v>
      </c>
      <c r="AR49" s="164">
        <v>0</v>
      </c>
      <c r="AS49" s="164">
        <v>0</v>
      </c>
      <c r="AT49" s="20"/>
    </row>
    <row r="50" spans="1:46" x14ac:dyDescent="0.25">
      <c r="A50" s="44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Y50" s="26" t="s">
        <v>188</v>
      </c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1:46" x14ac:dyDescent="0.25">
      <c r="A51" s="47" t="s">
        <v>190</v>
      </c>
      <c r="D51" s="169">
        <f>SUM(D34:D49)</f>
        <v>200100442.69904959</v>
      </c>
      <c r="E51" s="169">
        <f t="shared" ref="E51:W51" si="25">SUM(E34:E49)</f>
        <v>746267.64194297837</v>
      </c>
      <c r="F51" s="169">
        <f t="shared" si="25"/>
        <v>3158747.4008059143</v>
      </c>
      <c r="G51" s="169">
        <f t="shared" si="25"/>
        <v>0</v>
      </c>
      <c r="H51" s="169">
        <f t="shared" si="25"/>
        <v>0</v>
      </c>
      <c r="I51" s="169">
        <f t="shared" si="25"/>
        <v>660665.37774777319</v>
      </c>
      <c r="J51" s="169">
        <f t="shared" si="25"/>
        <v>0</v>
      </c>
      <c r="K51" s="169">
        <f t="shared" si="25"/>
        <v>113021.82798597805</v>
      </c>
      <c r="L51" s="169">
        <f t="shared" si="25"/>
        <v>159239278.9951441</v>
      </c>
      <c r="M51" s="169">
        <f t="shared" si="25"/>
        <v>14409373.242496906</v>
      </c>
      <c r="N51" s="169">
        <f t="shared" si="25"/>
        <v>20114634.308622062</v>
      </c>
      <c r="O51" s="169">
        <f t="shared" si="25"/>
        <v>17460018.339738019</v>
      </c>
      <c r="P51" s="169">
        <f t="shared" si="25"/>
        <v>16499467.187523205</v>
      </c>
      <c r="Q51" s="169">
        <f t="shared" si="25"/>
        <v>16616419.293175943</v>
      </c>
      <c r="R51" s="169">
        <f t="shared" si="25"/>
        <v>15935287.318183716</v>
      </c>
      <c r="S51" s="169">
        <f t="shared" si="25"/>
        <v>15235778.430749407</v>
      </c>
      <c r="T51" s="169">
        <f t="shared" si="25"/>
        <v>125017534.2339429</v>
      </c>
      <c r="U51" s="169">
        <f t="shared" si="25"/>
        <v>15002104.108073147</v>
      </c>
      <c r="V51" s="169">
        <f t="shared" si="25"/>
        <v>15845555.739038145</v>
      </c>
      <c r="W51" s="169">
        <f t="shared" si="25"/>
        <v>13684173.429430062</v>
      </c>
      <c r="X51" s="20" t="s">
        <v>191</v>
      </c>
      <c r="Z51" s="84">
        <f>SUM(Z34:Z49)</f>
        <v>161772919.9450897</v>
      </c>
      <c r="AA51" s="84">
        <f t="shared" ref="AA51:AS51" si="26">SUM(AA34:AA49)</f>
        <v>-746267.64194297837</v>
      </c>
      <c r="AB51" s="84">
        <f t="shared" si="26"/>
        <v>-1447759.225369378</v>
      </c>
      <c r="AC51" s="84">
        <f t="shared" si="26"/>
        <v>-1404326.4486082967</v>
      </c>
      <c r="AD51" s="84">
        <f t="shared" si="26"/>
        <v>0</v>
      </c>
      <c r="AE51" s="84">
        <f t="shared" si="26"/>
        <v>0</v>
      </c>
      <c r="AF51" s="84">
        <f t="shared" si="26"/>
        <v>0</v>
      </c>
      <c r="AG51" s="84">
        <f t="shared" si="26"/>
        <v>508598.22593690176</v>
      </c>
      <c r="AH51" s="84">
        <f t="shared" si="26"/>
        <v>126788451.74381006</v>
      </c>
      <c r="AI51" s="84">
        <f t="shared" si="26"/>
        <v>-584882.30873603746</v>
      </c>
      <c r="AJ51" s="84">
        <f t="shared" si="26"/>
        <v>-1031519.7081344663</v>
      </c>
      <c r="AK51" s="84">
        <f t="shared" si="26"/>
        <v>-1100631.5285794754</v>
      </c>
      <c r="AL51" s="84">
        <f t="shared" si="26"/>
        <v>0</v>
      </c>
      <c r="AM51" s="84">
        <f t="shared" si="26"/>
        <v>0</v>
      </c>
      <c r="AN51" s="84">
        <f t="shared" si="26"/>
        <v>0</v>
      </c>
      <c r="AO51" s="84">
        <f t="shared" si="26"/>
        <v>797220.96439967933</v>
      </c>
      <c r="AP51" s="84">
        <f t="shared" si="26"/>
        <v>99455529.811538771</v>
      </c>
      <c r="AQ51" s="84">
        <f t="shared" si="26"/>
        <v>-458397.62552445784</v>
      </c>
      <c r="AR51" s="84">
        <f t="shared" si="26"/>
        <v>-808446.72137949825</v>
      </c>
      <c r="AS51" s="84">
        <f t="shared" si="26"/>
        <v>-862612.6517119247</v>
      </c>
      <c r="AT51" s="20" t="s">
        <v>192</v>
      </c>
    </row>
    <row r="52" spans="1:46" x14ac:dyDescent="0.25">
      <c r="A52" s="47" t="s">
        <v>193</v>
      </c>
      <c r="C52" s="170">
        <f>SUM(_xlfn.ANCHORARRAY(D52))</f>
        <v>224351382.83959314</v>
      </c>
      <c r="D52" s="79" cm="1">
        <f t="array" ref="D52:W52">core_costs/wacc_index</f>
        <v>169039444.72992575</v>
      </c>
      <c r="E52" s="79">
        <v>536533.38745366805</v>
      </c>
      <c r="F52" s="79">
        <v>1921861.3555463091</v>
      </c>
      <c r="G52" s="79">
        <v>0</v>
      </c>
      <c r="H52" s="79">
        <v>0</v>
      </c>
      <c r="I52" s="79">
        <v>234927.34234801345</v>
      </c>
      <c r="J52" s="79">
        <v>0</v>
      </c>
      <c r="K52" s="79">
        <v>27893.563665459671</v>
      </c>
      <c r="L52" s="79">
        <v>32740605.542677507</v>
      </c>
      <c r="M52" s="79">
        <v>2468177.7051903335</v>
      </c>
      <c r="N52" s="79">
        <v>2870372.7911635237</v>
      </c>
      <c r="O52" s="79">
        <v>2075705.2700525667</v>
      </c>
      <c r="P52" s="79">
        <v>1634126.758208652</v>
      </c>
      <c r="Q52" s="79">
        <v>1371033.5842682014</v>
      </c>
      <c r="R52" s="79">
        <v>1095381.4404386752</v>
      </c>
      <c r="S52" s="79">
        <v>872499.03887862619</v>
      </c>
      <c r="T52" s="79">
        <v>5964390.4622670934</v>
      </c>
      <c r="U52" s="79">
        <v>596268.87816787139</v>
      </c>
      <c r="V52" s="79">
        <v>524677.29627903784</v>
      </c>
      <c r="W52" s="79">
        <v>377483.69306186546</v>
      </c>
      <c r="Y52" s="21">
        <f>SUM(_xlfn.ANCHORARRAY(Z52))</f>
        <v>165062822.01741534</v>
      </c>
      <c r="Z52" s="31" cm="1">
        <f t="array" ref="Z52:AS52">core_costs_noincoming/wacc_index</f>
        <v>136661389.60514444</v>
      </c>
      <c r="AA52" s="31">
        <v>-536533.38745366805</v>
      </c>
      <c r="AB52" s="31">
        <v>-880853.12129205873</v>
      </c>
      <c r="AC52" s="31">
        <v>-718719.34097829764</v>
      </c>
      <c r="AD52" s="31">
        <v>0</v>
      </c>
      <c r="AE52" s="31">
        <v>0</v>
      </c>
      <c r="AF52" s="31">
        <v>0</v>
      </c>
      <c r="AG52" s="31">
        <v>125521.03649456866</v>
      </c>
      <c r="AH52" s="31">
        <v>26068509.679935649</v>
      </c>
      <c r="AI52" s="31">
        <v>-100184.33489702473</v>
      </c>
      <c r="AJ52" s="31">
        <v>-147198.60467505272</v>
      </c>
      <c r="AK52" s="31">
        <v>-130846.75054772643</v>
      </c>
      <c r="AL52" s="31">
        <v>0</v>
      </c>
      <c r="AM52" s="31">
        <v>0</v>
      </c>
      <c r="AN52" s="31">
        <v>0</v>
      </c>
      <c r="AO52" s="31">
        <v>45654.01947620725</v>
      </c>
      <c r="AP52" s="31">
        <v>4744867.326511451</v>
      </c>
      <c r="AQ52" s="31">
        <v>-18219.326832907205</v>
      </c>
      <c r="AR52" s="31">
        <v>-26769.249810155026</v>
      </c>
      <c r="AS52" s="31">
        <v>-23795.533660060315</v>
      </c>
    </row>
    <row r="53" spans="1:46" x14ac:dyDescent="0.25">
      <c r="A53" s="44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</sheetData>
  <hyperlinks>
    <hyperlink ref="Y19" r:id="rId1" location=":~:text=The%20South%20Africa%2010%20Years,%3A15%20GMT%2B0)." display="http://www.worldgovernmentbonds.com/bond-historical-data/south-africa/10-years/ - :~:text=The%20South%20Africa%2010%20Years,%3A15%20GMT%2B0)." xr:uid="{3C8170BD-62FA-4EF8-A2A9-414E3B577C82}"/>
    <hyperlink ref="Y18" r:id="rId2" display="https://orbitax.com/taxhub/corporatetaxrates/ZA/South-Africa" xr:uid="{DFB7BEC6-3E49-46C7-BB08-C7D2B637B68E}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3E4E-2C0C-4A26-A753-9557D5485EBB}">
  <dimension ref="A1:AU28"/>
  <sheetViews>
    <sheetView zoomScale="90" zoomScaleNormal="90" workbookViewId="0">
      <selection sqref="A1:XFD1"/>
    </sheetView>
  </sheetViews>
  <sheetFormatPr defaultColWidth="8.5703125" defaultRowHeight="15" x14ac:dyDescent="0.25"/>
  <cols>
    <col min="1" max="1" width="50.5703125" style="17" customWidth="1"/>
    <col min="2" max="4" width="15.7109375" style="17" customWidth="1"/>
    <col min="5" max="5" width="17" style="17" bestFit="1" customWidth="1"/>
    <col min="6" max="83" width="15.7109375" style="17" customWidth="1"/>
    <col min="84" max="16384" width="8.5703125" style="17"/>
  </cols>
  <sheetData>
    <row r="1" spans="1:47" ht="18.75" x14ac:dyDescent="0.3">
      <c r="A1" s="98" t="s">
        <v>194</v>
      </c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</row>
    <row r="4" spans="1:47" s="26" customFormat="1" x14ac:dyDescent="0.25">
      <c r="A4" s="54" t="s">
        <v>196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2"/>
    </row>
    <row r="6" spans="1:47" x14ac:dyDescent="0.25">
      <c r="C6" s="54" t="s">
        <v>102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Z6" s="54" t="s">
        <v>134</v>
      </c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8" spans="1:47" x14ac:dyDescent="0.25">
      <c r="D8" s="224" cm="1">
        <f t="array" ref="D8:W8">years</f>
        <v>2018</v>
      </c>
      <c r="E8" s="224">
        <v>2019</v>
      </c>
      <c r="F8" s="224">
        <v>2020</v>
      </c>
      <c r="G8" s="224">
        <v>2021</v>
      </c>
      <c r="H8" s="224">
        <v>2022</v>
      </c>
      <c r="I8" s="224">
        <v>2023</v>
      </c>
      <c r="J8" s="224">
        <v>2024</v>
      </c>
      <c r="K8" s="224">
        <v>2025</v>
      </c>
      <c r="L8" s="224">
        <v>2026</v>
      </c>
      <c r="M8" s="224">
        <v>2027</v>
      </c>
      <c r="N8" s="224">
        <v>2028</v>
      </c>
      <c r="O8" s="224">
        <v>2029</v>
      </c>
      <c r="P8" s="224">
        <v>2030</v>
      </c>
      <c r="Q8" s="224">
        <v>2031</v>
      </c>
      <c r="R8" s="224">
        <v>2032</v>
      </c>
      <c r="S8" s="224">
        <v>2033</v>
      </c>
      <c r="T8" s="224">
        <v>2034</v>
      </c>
      <c r="U8" s="224">
        <v>2035</v>
      </c>
      <c r="V8" s="224">
        <v>2036</v>
      </c>
      <c r="W8" s="224">
        <v>2037</v>
      </c>
      <c r="Z8" s="58" cm="1">
        <f t="array" ref="Z8:AS8">years</f>
        <v>2018</v>
      </c>
      <c r="AA8" s="58">
        <v>2019</v>
      </c>
      <c r="AB8" s="58">
        <v>2020</v>
      </c>
      <c r="AC8" s="58">
        <v>2021</v>
      </c>
      <c r="AD8" s="58">
        <v>2022</v>
      </c>
      <c r="AE8" s="58">
        <v>2023</v>
      </c>
      <c r="AF8" s="58">
        <v>2024</v>
      </c>
      <c r="AG8" s="58">
        <v>2025</v>
      </c>
      <c r="AH8" s="58">
        <v>2026</v>
      </c>
      <c r="AI8" s="58">
        <v>2027</v>
      </c>
      <c r="AJ8" s="58">
        <v>2028</v>
      </c>
      <c r="AK8" s="58">
        <v>2029</v>
      </c>
      <c r="AL8" s="58">
        <v>2030</v>
      </c>
      <c r="AM8" s="58">
        <v>2031</v>
      </c>
      <c r="AN8" s="58">
        <v>2032</v>
      </c>
      <c r="AO8" s="58">
        <v>2033</v>
      </c>
      <c r="AP8" s="58">
        <v>2034</v>
      </c>
      <c r="AQ8" s="58">
        <v>2035</v>
      </c>
      <c r="AR8" s="58">
        <v>2036</v>
      </c>
      <c r="AS8" s="58">
        <v>2037</v>
      </c>
    </row>
    <row r="9" spans="1:47" x14ac:dyDescent="0.25">
      <c r="A9" s="22" t="str" cm="1">
        <f t="array" ref="A9:A24">core_elements</f>
        <v>Application server hardware</v>
      </c>
      <c r="B9" s="22"/>
      <c r="C9" s="22"/>
      <c r="D9" s="31" cm="1">
        <f t="array" ref="D9:W24">core_number*unit_costs_core_opex</f>
        <v>391668.11573389656</v>
      </c>
      <c r="E9" s="31">
        <v>379918.07226187963</v>
      </c>
      <c r="F9" s="31">
        <v>368520.53009402327</v>
      </c>
      <c r="G9" s="31">
        <v>357464.91419120255</v>
      </c>
      <c r="H9" s="31">
        <v>346740.9667654665</v>
      </c>
      <c r="I9" s="31">
        <v>336338.73776250245</v>
      </c>
      <c r="J9" s="77">
        <v>326248.57562962739</v>
      </c>
      <c r="K9" s="77">
        <v>316461.11836073856</v>
      </c>
      <c r="L9" s="77">
        <v>306967.28480991645</v>
      </c>
      <c r="M9" s="77">
        <v>297758.26626561891</v>
      </c>
      <c r="N9" s="77">
        <v>288825.51827765029</v>
      </c>
      <c r="O9" s="77">
        <v>280160.75272932078</v>
      </c>
      <c r="P9" s="77">
        <v>271755.93014744116</v>
      </c>
      <c r="Q9" s="77">
        <v>263603.25224301795</v>
      </c>
      <c r="R9" s="77">
        <v>255695.15467572742</v>
      </c>
      <c r="S9" s="31">
        <v>248024.30003545558</v>
      </c>
      <c r="T9" s="31">
        <v>240583.57103439191</v>
      </c>
      <c r="U9" s="31">
        <v>233366.06390336016</v>
      </c>
      <c r="V9" s="31">
        <v>226365.08198625938</v>
      </c>
      <c r="W9" s="31">
        <v>219574.12952667155</v>
      </c>
      <c r="X9" s="90"/>
      <c r="Y9" s="90"/>
      <c r="Z9" s="31" cm="1">
        <f t="array" ref="Z9:AS24">core_number_noincoming_voice*unit_costs_core_opex</f>
        <v>391668.11573389656</v>
      </c>
      <c r="AA9" s="31">
        <v>379918.07226187963</v>
      </c>
      <c r="AB9" s="31">
        <v>368520.53009402327</v>
      </c>
      <c r="AC9" s="31">
        <v>357464.91419120255</v>
      </c>
      <c r="AD9" s="31">
        <v>346740.9667654665</v>
      </c>
      <c r="AE9" s="31">
        <v>336338.73776250245</v>
      </c>
      <c r="AF9" s="31">
        <v>326248.57562962739</v>
      </c>
      <c r="AG9" s="31">
        <v>316461.11836073856</v>
      </c>
      <c r="AH9" s="31">
        <v>306967.28480991645</v>
      </c>
      <c r="AI9" s="31">
        <v>297758.26626561891</v>
      </c>
      <c r="AJ9" s="31">
        <v>288825.51827765029</v>
      </c>
      <c r="AK9" s="31">
        <v>280160.75272932078</v>
      </c>
      <c r="AL9" s="31">
        <v>271755.93014744116</v>
      </c>
      <c r="AM9" s="31">
        <v>263603.25224301795</v>
      </c>
      <c r="AN9" s="31">
        <v>255695.15467572742</v>
      </c>
      <c r="AO9" s="31">
        <v>248024.30003545558</v>
      </c>
      <c r="AP9" s="31">
        <v>240583.57103439191</v>
      </c>
      <c r="AQ9" s="31">
        <v>233366.06390336016</v>
      </c>
      <c r="AR9" s="31">
        <v>226365.08198625938</v>
      </c>
      <c r="AS9" s="31">
        <v>219574.12952667155</v>
      </c>
    </row>
    <row r="10" spans="1:47" x14ac:dyDescent="0.25">
      <c r="A10" s="22" t="str">
        <v>Application server software</v>
      </c>
      <c r="B10" s="22"/>
      <c r="C10" s="22"/>
      <c r="D10" s="31">
        <v>1272921.376135163</v>
      </c>
      <c r="E10" s="31">
        <v>1234733.7348511082</v>
      </c>
      <c r="F10" s="31">
        <v>1197691.722805575</v>
      </c>
      <c r="G10" s="31">
        <v>1161760.9711214076</v>
      </c>
      <c r="H10" s="31">
        <v>1126908.1419877652</v>
      </c>
      <c r="I10" s="31">
        <v>1093100.8977281323</v>
      </c>
      <c r="J10" s="31">
        <v>1060307.8707962884</v>
      </c>
      <c r="K10" s="31">
        <v>1028498.6346723997</v>
      </c>
      <c r="L10" s="31">
        <v>997643.67563222768</v>
      </c>
      <c r="M10" s="31">
        <v>967714.36536326085</v>
      </c>
      <c r="N10" s="31">
        <v>938682.93440236291</v>
      </c>
      <c r="O10" s="31">
        <v>910522.44637029211</v>
      </c>
      <c r="P10" s="31">
        <v>883206.77297918324</v>
      </c>
      <c r="Q10" s="31">
        <v>856710.56978980778</v>
      </c>
      <c r="R10" s="31">
        <v>831009.25269611354</v>
      </c>
      <c r="S10" s="31">
        <v>806078.97511523019</v>
      </c>
      <c r="T10" s="31">
        <v>781896.60586177325</v>
      </c>
      <c r="U10" s="31">
        <v>758439.70768592006</v>
      </c>
      <c r="V10" s="31">
        <v>735686.51645534253</v>
      </c>
      <c r="W10" s="31">
        <v>713615.92096168222</v>
      </c>
      <c r="X10" s="90"/>
      <c r="Y10" s="90"/>
      <c r="Z10" s="31">
        <v>1272921.376135163</v>
      </c>
      <c r="AA10" s="31">
        <v>1234733.7348511082</v>
      </c>
      <c r="AB10" s="31">
        <v>1197691.722805575</v>
      </c>
      <c r="AC10" s="31">
        <v>1161760.9711214076</v>
      </c>
      <c r="AD10" s="31">
        <v>1126908.1419877652</v>
      </c>
      <c r="AE10" s="31">
        <v>1093100.8977281323</v>
      </c>
      <c r="AF10" s="31">
        <v>1060307.8707962884</v>
      </c>
      <c r="AG10" s="31">
        <v>1028498.6346723997</v>
      </c>
      <c r="AH10" s="31">
        <v>997643.67563222768</v>
      </c>
      <c r="AI10" s="31">
        <v>967714.36536326085</v>
      </c>
      <c r="AJ10" s="31">
        <v>938682.93440236291</v>
      </c>
      <c r="AK10" s="31">
        <v>910522.44637029211</v>
      </c>
      <c r="AL10" s="31">
        <v>883206.77297918324</v>
      </c>
      <c r="AM10" s="31">
        <v>856710.56978980778</v>
      </c>
      <c r="AN10" s="31">
        <v>831009.25269611354</v>
      </c>
      <c r="AO10" s="31">
        <v>806078.97511523019</v>
      </c>
      <c r="AP10" s="31">
        <v>781896.60586177325</v>
      </c>
      <c r="AQ10" s="31">
        <v>758439.70768592006</v>
      </c>
      <c r="AR10" s="31">
        <v>735686.51645534253</v>
      </c>
      <c r="AS10" s="31">
        <v>713615.92096168222</v>
      </c>
    </row>
    <row r="11" spans="1:47" x14ac:dyDescent="0.25">
      <c r="A11" s="22" t="str">
        <v>Charging data function hardware</v>
      </c>
      <c r="B11" s="22"/>
      <c r="C11" s="22"/>
      <c r="D11" s="31">
        <v>391668.11573389656</v>
      </c>
      <c r="E11" s="31">
        <v>379918.07226187963</v>
      </c>
      <c r="F11" s="31">
        <v>368520.53009402327</v>
      </c>
      <c r="G11" s="31">
        <v>357464.91419120255</v>
      </c>
      <c r="H11" s="31">
        <v>346740.9667654665</v>
      </c>
      <c r="I11" s="31">
        <v>336338.73776250245</v>
      </c>
      <c r="J11" s="31">
        <v>326248.57562962739</v>
      </c>
      <c r="K11" s="31">
        <v>316461.11836073856</v>
      </c>
      <c r="L11" s="31">
        <v>306967.28480991645</v>
      </c>
      <c r="M11" s="31">
        <v>297758.26626561891</v>
      </c>
      <c r="N11" s="31">
        <v>288825.51827765029</v>
      </c>
      <c r="O11" s="31">
        <v>280160.75272932078</v>
      </c>
      <c r="P11" s="31">
        <v>271755.93014744116</v>
      </c>
      <c r="Q11" s="31">
        <v>263603.25224301795</v>
      </c>
      <c r="R11" s="31">
        <v>255695.15467572742</v>
      </c>
      <c r="S11" s="31">
        <v>248024.30003545558</v>
      </c>
      <c r="T11" s="31">
        <v>240583.57103439191</v>
      </c>
      <c r="U11" s="31">
        <v>233366.06390336016</v>
      </c>
      <c r="V11" s="31">
        <v>226365.08198625938</v>
      </c>
      <c r="W11" s="31">
        <v>219574.12952667155</v>
      </c>
      <c r="X11" s="90"/>
      <c r="Y11" s="90"/>
      <c r="Z11" s="31">
        <v>391668.11573389656</v>
      </c>
      <c r="AA11" s="31">
        <v>379918.07226187963</v>
      </c>
      <c r="AB11" s="31">
        <v>368520.53009402327</v>
      </c>
      <c r="AC11" s="31">
        <v>357464.91419120255</v>
      </c>
      <c r="AD11" s="31">
        <v>346740.9667654665</v>
      </c>
      <c r="AE11" s="31">
        <v>336338.73776250245</v>
      </c>
      <c r="AF11" s="31">
        <v>326248.57562962739</v>
      </c>
      <c r="AG11" s="31">
        <v>316461.11836073856</v>
      </c>
      <c r="AH11" s="31">
        <v>306967.28480991645</v>
      </c>
      <c r="AI11" s="31">
        <v>297758.26626561891</v>
      </c>
      <c r="AJ11" s="31">
        <v>288825.51827765029</v>
      </c>
      <c r="AK11" s="31">
        <v>280160.75272932078</v>
      </c>
      <c r="AL11" s="31">
        <v>271755.93014744116</v>
      </c>
      <c r="AM11" s="31">
        <v>263603.25224301795</v>
      </c>
      <c r="AN11" s="31">
        <v>255695.15467572742</v>
      </c>
      <c r="AO11" s="31">
        <v>248024.30003545558</v>
      </c>
      <c r="AP11" s="31">
        <v>240583.57103439191</v>
      </c>
      <c r="AQ11" s="31">
        <v>233366.06390336016</v>
      </c>
      <c r="AR11" s="31">
        <v>226365.08198625938</v>
      </c>
      <c r="AS11" s="31">
        <v>219574.12952667155</v>
      </c>
    </row>
    <row r="12" spans="1:47" x14ac:dyDescent="0.25">
      <c r="A12" s="22" t="str">
        <v>Charging data function software</v>
      </c>
      <c r="B12" s="22"/>
      <c r="C12" s="22"/>
      <c r="D12" s="31">
        <v>881253.26040126639</v>
      </c>
      <c r="E12" s="31">
        <v>854815.66258922836</v>
      </c>
      <c r="F12" s="31">
        <v>829171.19271155156</v>
      </c>
      <c r="G12" s="31">
        <v>804296.05693020497</v>
      </c>
      <c r="H12" s="31">
        <v>780167.17522229871</v>
      </c>
      <c r="I12" s="31">
        <v>756762.15996562981</v>
      </c>
      <c r="J12" s="31">
        <v>734059.29516666092</v>
      </c>
      <c r="K12" s="31">
        <v>712037.51631166111</v>
      </c>
      <c r="L12" s="31">
        <v>690676.39082231116</v>
      </c>
      <c r="M12" s="31">
        <v>669956.09909764188</v>
      </c>
      <c r="N12" s="31">
        <v>649857.41612471256</v>
      </c>
      <c r="O12" s="31">
        <v>630361.69364097109</v>
      </c>
      <c r="P12" s="31">
        <v>611450.84283174202</v>
      </c>
      <c r="Q12" s="31">
        <v>593107.31754678988</v>
      </c>
      <c r="R12" s="31">
        <v>575314.09802038607</v>
      </c>
      <c r="S12" s="31">
        <v>558054.67507977446</v>
      </c>
      <c r="T12" s="31">
        <v>541313.03482738137</v>
      </c>
      <c r="U12" s="31">
        <v>525073.6437825599</v>
      </c>
      <c r="V12" s="31">
        <v>509321.43446908309</v>
      </c>
      <c r="W12" s="31">
        <v>494041.7914350105</v>
      </c>
      <c r="X12" s="90"/>
      <c r="Y12" s="90"/>
      <c r="Z12" s="31">
        <v>881253.26040126639</v>
      </c>
      <c r="AA12" s="31">
        <v>854815.66258922836</v>
      </c>
      <c r="AB12" s="31">
        <v>829171.19271155156</v>
      </c>
      <c r="AC12" s="31">
        <v>804296.05693020497</v>
      </c>
      <c r="AD12" s="31">
        <v>780167.17522229871</v>
      </c>
      <c r="AE12" s="31">
        <v>756762.15996562981</v>
      </c>
      <c r="AF12" s="31">
        <v>734059.29516666092</v>
      </c>
      <c r="AG12" s="31">
        <v>712037.51631166111</v>
      </c>
      <c r="AH12" s="31">
        <v>690676.39082231116</v>
      </c>
      <c r="AI12" s="31">
        <v>669956.09909764188</v>
      </c>
      <c r="AJ12" s="31">
        <v>649857.41612471256</v>
      </c>
      <c r="AK12" s="31">
        <v>630361.69364097109</v>
      </c>
      <c r="AL12" s="31">
        <v>611450.84283174202</v>
      </c>
      <c r="AM12" s="31">
        <v>593107.31754678988</v>
      </c>
      <c r="AN12" s="31">
        <v>575314.09802038607</v>
      </c>
      <c r="AO12" s="31">
        <v>558054.67507977446</v>
      </c>
      <c r="AP12" s="31">
        <v>541313.03482738137</v>
      </c>
      <c r="AQ12" s="31">
        <v>525073.6437825599</v>
      </c>
      <c r="AR12" s="31">
        <v>509321.43446908309</v>
      </c>
      <c r="AS12" s="31">
        <v>494041.7914350105</v>
      </c>
    </row>
    <row r="13" spans="1:47" x14ac:dyDescent="0.25">
      <c r="A13" s="22" t="str">
        <v>Proxy - Call session control function hardware</v>
      </c>
      <c r="B13" s="22"/>
      <c r="C13" s="22"/>
      <c r="D13" s="31">
        <v>1762506.5208025328</v>
      </c>
      <c r="E13" s="31">
        <v>1709631.3251784567</v>
      </c>
      <c r="F13" s="31">
        <v>1658342.3854231031</v>
      </c>
      <c r="G13" s="31">
        <v>1608592.1138604099</v>
      </c>
      <c r="H13" s="31">
        <v>1560334.3504445974</v>
      </c>
      <c r="I13" s="31">
        <v>1513524.3199312596</v>
      </c>
      <c r="J13" s="31">
        <v>1468118.5903333218</v>
      </c>
      <c r="K13" s="31">
        <v>1424075.0326233222</v>
      </c>
      <c r="L13" s="31">
        <v>1381352.7816446223</v>
      </c>
      <c r="M13" s="31">
        <v>1339912.1981952838</v>
      </c>
      <c r="N13" s="31">
        <v>1299714.8322494251</v>
      </c>
      <c r="O13" s="31">
        <v>1260723.3872819422</v>
      </c>
      <c r="P13" s="31">
        <v>1222901.685663484</v>
      </c>
      <c r="Q13" s="31">
        <v>1186214.6350935798</v>
      </c>
      <c r="R13" s="31">
        <v>1150628.1960407721</v>
      </c>
      <c r="S13" s="31">
        <v>1116109.3501595489</v>
      </c>
      <c r="T13" s="31">
        <v>1082626.0696547627</v>
      </c>
      <c r="U13" s="31">
        <v>1050147.2875651198</v>
      </c>
      <c r="V13" s="31">
        <v>1018642.8689381662</v>
      </c>
      <c r="W13" s="31">
        <v>988083.582870021</v>
      </c>
      <c r="X13" s="90"/>
      <c r="Y13" s="90"/>
      <c r="Z13" s="31">
        <v>1762506.5208025328</v>
      </c>
      <c r="AA13" s="31">
        <v>1709631.3251784567</v>
      </c>
      <c r="AB13" s="31">
        <v>1658342.3854231031</v>
      </c>
      <c r="AC13" s="31">
        <v>1608592.1138604099</v>
      </c>
      <c r="AD13" s="31">
        <v>1560334.3504445974</v>
      </c>
      <c r="AE13" s="31">
        <v>1513524.3199312596</v>
      </c>
      <c r="AF13" s="31">
        <v>1468118.5903333218</v>
      </c>
      <c r="AG13" s="31">
        <v>1424075.0326233222</v>
      </c>
      <c r="AH13" s="31">
        <v>1381352.7816446223</v>
      </c>
      <c r="AI13" s="31">
        <v>1339912.1981952838</v>
      </c>
      <c r="AJ13" s="31">
        <v>1299714.8322494251</v>
      </c>
      <c r="AK13" s="31">
        <v>1260723.3872819422</v>
      </c>
      <c r="AL13" s="31">
        <v>1222901.685663484</v>
      </c>
      <c r="AM13" s="31">
        <v>1186214.6350935798</v>
      </c>
      <c r="AN13" s="31">
        <v>1150628.1960407721</v>
      </c>
      <c r="AO13" s="31">
        <v>1116109.3501595489</v>
      </c>
      <c r="AP13" s="31">
        <v>1082626.0696547627</v>
      </c>
      <c r="AQ13" s="31">
        <v>1050147.2875651198</v>
      </c>
      <c r="AR13" s="31">
        <v>1018642.8689381662</v>
      </c>
      <c r="AS13" s="31">
        <v>988083.582870021</v>
      </c>
    </row>
    <row r="14" spans="1:47" x14ac:dyDescent="0.25">
      <c r="A14" s="22" t="str">
        <v>Proxy - Call session control function software</v>
      </c>
      <c r="B14" s="22"/>
      <c r="C14" s="22"/>
      <c r="D14" s="31">
        <v>783336.23146779311</v>
      </c>
      <c r="E14" s="31">
        <v>759836.14452375926</v>
      </c>
      <c r="F14" s="31">
        <v>737041.06018804654</v>
      </c>
      <c r="G14" s="31">
        <v>714929.8283824051</v>
      </c>
      <c r="H14" s="31">
        <v>693481.93353093299</v>
      </c>
      <c r="I14" s="31">
        <v>672677.47552500491</v>
      </c>
      <c r="J14" s="31">
        <v>652497.15125925478</v>
      </c>
      <c r="K14" s="31">
        <v>632922.23672147712</v>
      </c>
      <c r="L14" s="31">
        <v>613934.56961983291</v>
      </c>
      <c r="M14" s="31">
        <v>595516.53253123781</v>
      </c>
      <c r="N14" s="31">
        <v>577651.03655530058</v>
      </c>
      <c r="O14" s="31">
        <v>560321.50545864156</v>
      </c>
      <c r="P14" s="31">
        <v>543511.86029488232</v>
      </c>
      <c r="Q14" s="31">
        <v>527206.5044860359</v>
      </c>
      <c r="R14" s="31">
        <v>511390.30935145484</v>
      </c>
      <c r="S14" s="31">
        <v>496048.60007091117</v>
      </c>
      <c r="T14" s="31">
        <v>481167.14206878381</v>
      </c>
      <c r="U14" s="31">
        <v>466732.12780672032</v>
      </c>
      <c r="V14" s="31">
        <v>452730.16397251876</v>
      </c>
      <c r="W14" s="31">
        <v>439148.25905334309</v>
      </c>
      <c r="X14" s="90"/>
      <c r="Y14" s="90"/>
      <c r="Z14" s="31">
        <v>783336.23146779311</v>
      </c>
      <c r="AA14" s="31">
        <v>759836.14452375926</v>
      </c>
      <c r="AB14" s="31">
        <v>737041.06018804654</v>
      </c>
      <c r="AC14" s="31">
        <v>714929.8283824051</v>
      </c>
      <c r="AD14" s="31">
        <v>693481.93353093299</v>
      </c>
      <c r="AE14" s="31">
        <v>672677.47552500491</v>
      </c>
      <c r="AF14" s="31">
        <v>652497.15125925478</v>
      </c>
      <c r="AG14" s="31">
        <v>632922.23672147712</v>
      </c>
      <c r="AH14" s="31">
        <v>613934.56961983291</v>
      </c>
      <c r="AI14" s="31">
        <v>595516.53253123781</v>
      </c>
      <c r="AJ14" s="31">
        <v>577651.03655530058</v>
      </c>
      <c r="AK14" s="31">
        <v>560321.50545864156</v>
      </c>
      <c r="AL14" s="31">
        <v>543511.86029488232</v>
      </c>
      <c r="AM14" s="31">
        <v>527206.5044860359</v>
      </c>
      <c r="AN14" s="31">
        <v>511390.30935145484</v>
      </c>
      <c r="AO14" s="31">
        <v>496048.60007091117</v>
      </c>
      <c r="AP14" s="31">
        <v>481167.14206878381</v>
      </c>
      <c r="AQ14" s="31">
        <v>466732.12780672032</v>
      </c>
      <c r="AR14" s="31">
        <v>452730.16397251876</v>
      </c>
      <c r="AS14" s="31">
        <v>439148.25905334309</v>
      </c>
    </row>
    <row r="15" spans="1:47" x14ac:dyDescent="0.25">
      <c r="A15" s="22" t="str">
        <v>Interrogating - Call session control function hardware</v>
      </c>
      <c r="B15" s="22"/>
      <c r="C15" s="22"/>
      <c r="D15" s="31">
        <v>1762506.5208025328</v>
      </c>
      <c r="E15" s="31">
        <v>1709631.3251784567</v>
      </c>
      <c r="F15" s="31">
        <v>1658342.3854231031</v>
      </c>
      <c r="G15" s="31">
        <v>1608592.1138604099</v>
      </c>
      <c r="H15" s="31">
        <v>1560334.3504445974</v>
      </c>
      <c r="I15" s="31">
        <v>1513524.3199312596</v>
      </c>
      <c r="J15" s="31">
        <v>1468118.5903333218</v>
      </c>
      <c r="K15" s="31">
        <v>1424075.0326233222</v>
      </c>
      <c r="L15" s="31">
        <v>1381352.7816446223</v>
      </c>
      <c r="M15" s="31">
        <v>1339912.1981952838</v>
      </c>
      <c r="N15" s="31">
        <v>1299714.8322494251</v>
      </c>
      <c r="O15" s="31">
        <v>1260723.3872819422</v>
      </c>
      <c r="P15" s="31">
        <v>1222901.685663484</v>
      </c>
      <c r="Q15" s="31">
        <v>1186214.6350935798</v>
      </c>
      <c r="R15" s="31">
        <v>1150628.1960407721</v>
      </c>
      <c r="S15" s="31">
        <v>1116109.3501595489</v>
      </c>
      <c r="T15" s="31">
        <v>1082626.0696547627</v>
      </c>
      <c r="U15" s="31">
        <v>1050147.2875651198</v>
      </c>
      <c r="V15" s="31">
        <v>1018642.8689381662</v>
      </c>
      <c r="W15" s="31">
        <v>988083.582870021</v>
      </c>
      <c r="X15" s="90"/>
      <c r="Y15" s="90"/>
      <c r="Z15" s="31">
        <v>1762506.5208025328</v>
      </c>
      <c r="AA15" s="31">
        <v>1709631.3251784567</v>
      </c>
      <c r="AB15" s="31">
        <v>1658342.3854231031</v>
      </c>
      <c r="AC15" s="31">
        <v>1608592.1138604099</v>
      </c>
      <c r="AD15" s="31">
        <v>1560334.3504445974</v>
      </c>
      <c r="AE15" s="31">
        <v>1513524.3199312596</v>
      </c>
      <c r="AF15" s="31">
        <v>1468118.5903333218</v>
      </c>
      <c r="AG15" s="31">
        <v>1424075.0326233222</v>
      </c>
      <c r="AH15" s="31">
        <v>1381352.7816446223</v>
      </c>
      <c r="AI15" s="31">
        <v>1339912.1981952838</v>
      </c>
      <c r="AJ15" s="31">
        <v>1299714.8322494251</v>
      </c>
      <c r="AK15" s="31">
        <v>1260723.3872819422</v>
      </c>
      <c r="AL15" s="31">
        <v>1222901.685663484</v>
      </c>
      <c r="AM15" s="31">
        <v>1186214.6350935798</v>
      </c>
      <c r="AN15" s="31">
        <v>1150628.1960407721</v>
      </c>
      <c r="AO15" s="31">
        <v>1116109.3501595489</v>
      </c>
      <c r="AP15" s="31">
        <v>1082626.0696547627</v>
      </c>
      <c r="AQ15" s="31">
        <v>1050147.2875651198</v>
      </c>
      <c r="AR15" s="31">
        <v>1018642.8689381662</v>
      </c>
      <c r="AS15" s="31">
        <v>988083.582870021</v>
      </c>
    </row>
    <row r="16" spans="1:47" x14ac:dyDescent="0.25">
      <c r="A16" s="22" t="str">
        <v>Interrogating - Call session control function software</v>
      </c>
      <c r="B16" s="22"/>
      <c r="C16" s="22"/>
      <c r="D16" s="31">
        <v>783336.23146779311</v>
      </c>
      <c r="E16" s="31">
        <v>759836.14452375926</v>
      </c>
      <c r="F16" s="31">
        <v>737041.06018804654</v>
      </c>
      <c r="G16" s="31">
        <v>714929.8283824051</v>
      </c>
      <c r="H16" s="31">
        <v>693481.93353093299</v>
      </c>
      <c r="I16" s="31">
        <v>672677.47552500491</v>
      </c>
      <c r="J16" s="31">
        <v>652497.15125925478</v>
      </c>
      <c r="K16" s="31">
        <v>632922.23672147712</v>
      </c>
      <c r="L16" s="31">
        <v>613934.56961983291</v>
      </c>
      <c r="M16" s="31">
        <v>595516.53253123781</v>
      </c>
      <c r="N16" s="31">
        <v>577651.03655530058</v>
      </c>
      <c r="O16" s="31">
        <v>560321.50545864156</v>
      </c>
      <c r="P16" s="31">
        <v>543511.86029488232</v>
      </c>
      <c r="Q16" s="31">
        <v>527206.5044860359</v>
      </c>
      <c r="R16" s="31">
        <v>511390.30935145484</v>
      </c>
      <c r="S16" s="31">
        <v>496048.60007091117</v>
      </c>
      <c r="T16" s="31">
        <v>481167.14206878381</v>
      </c>
      <c r="U16" s="31">
        <v>466732.12780672032</v>
      </c>
      <c r="V16" s="31">
        <v>452730.16397251876</v>
      </c>
      <c r="W16" s="31">
        <v>439148.25905334309</v>
      </c>
      <c r="X16" s="90"/>
      <c r="Y16" s="90"/>
      <c r="Z16" s="31">
        <v>783336.23146779311</v>
      </c>
      <c r="AA16" s="31">
        <v>759836.14452375926</v>
      </c>
      <c r="AB16" s="31">
        <v>737041.06018804654</v>
      </c>
      <c r="AC16" s="31">
        <v>714929.8283824051</v>
      </c>
      <c r="AD16" s="31">
        <v>693481.93353093299</v>
      </c>
      <c r="AE16" s="31">
        <v>672677.47552500491</v>
      </c>
      <c r="AF16" s="31">
        <v>652497.15125925478</v>
      </c>
      <c r="AG16" s="31">
        <v>632922.23672147712</v>
      </c>
      <c r="AH16" s="31">
        <v>613934.56961983291</v>
      </c>
      <c r="AI16" s="31">
        <v>595516.53253123781</v>
      </c>
      <c r="AJ16" s="31">
        <v>577651.03655530058</v>
      </c>
      <c r="AK16" s="31">
        <v>560321.50545864156</v>
      </c>
      <c r="AL16" s="31">
        <v>543511.86029488232</v>
      </c>
      <c r="AM16" s="31">
        <v>527206.5044860359</v>
      </c>
      <c r="AN16" s="31">
        <v>511390.30935145484</v>
      </c>
      <c r="AO16" s="31">
        <v>496048.60007091117</v>
      </c>
      <c r="AP16" s="31">
        <v>481167.14206878381</v>
      </c>
      <c r="AQ16" s="31">
        <v>466732.12780672032</v>
      </c>
      <c r="AR16" s="31">
        <v>452730.16397251876</v>
      </c>
      <c r="AS16" s="31">
        <v>439148.25905334309</v>
      </c>
    </row>
    <row r="17" spans="1:46" x14ac:dyDescent="0.25">
      <c r="A17" s="22" t="str">
        <v>Serving - Call session control function hardware</v>
      </c>
      <c r="B17" s="22"/>
      <c r="C17" s="22"/>
      <c r="D17" s="31">
        <v>146875.54340021111</v>
      </c>
      <c r="E17" s="31">
        <v>142469.2770982048</v>
      </c>
      <c r="F17" s="31">
        <v>138195.19878525863</v>
      </c>
      <c r="G17" s="31">
        <v>134049.34282170088</v>
      </c>
      <c r="H17" s="31">
        <v>130027.86253704985</v>
      </c>
      <c r="I17" s="31">
        <v>126127.02666093834</v>
      </c>
      <c r="J17" s="31">
        <v>122343.21586111019</v>
      </c>
      <c r="K17" s="31">
        <v>118672.91938527689</v>
      </c>
      <c r="L17" s="31">
        <v>115112.73180371859</v>
      </c>
      <c r="M17" s="31">
        <v>111659.34984960701</v>
      </c>
      <c r="N17" s="31">
        <v>108309.56935411881</v>
      </c>
      <c r="O17" s="31">
        <v>105060.28227349524</v>
      </c>
      <c r="P17" s="31">
        <v>101908.47380529037</v>
      </c>
      <c r="Q17" s="31">
        <v>98851.219591131667</v>
      </c>
      <c r="R17" s="31">
        <v>95885.683003397717</v>
      </c>
      <c r="S17" s="31">
        <v>93009.112513295782</v>
      </c>
      <c r="T17" s="31">
        <v>90218.83913789691</v>
      </c>
      <c r="U17" s="31">
        <v>87512.273963760017</v>
      </c>
      <c r="V17" s="31">
        <v>84886.905744847201</v>
      </c>
      <c r="W17" s="31">
        <v>82340.298572501793</v>
      </c>
      <c r="X17" s="90"/>
      <c r="Y17" s="90"/>
      <c r="Z17" s="31">
        <v>146875.54340021111</v>
      </c>
      <c r="AA17" s="31">
        <v>142469.2770982048</v>
      </c>
      <c r="AB17" s="31">
        <v>138195.19878525863</v>
      </c>
      <c r="AC17" s="31">
        <v>134049.34282170088</v>
      </c>
      <c r="AD17" s="31">
        <v>130027.86253704985</v>
      </c>
      <c r="AE17" s="31">
        <v>126127.02666093834</v>
      </c>
      <c r="AF17" s="31">
        <v>122343.21586111019</v>
      </c>
      <c r="AG17" s="31">
        <v>118672.91938527689</v>
      </c>
      <c r="AH17" s="31">
        <v>115112.73180371859</v>
      </c>
      <c r="AI17" s="31">
        <v>111659.34984960701</v>
      </c>
      <c r="AJ17" s="31">
        <v>108309.56935411881</v>
      </c>
      <c r="AK17" s="31">
        <v>105060.28227349524</v>
      </c>
      <c r="AL17" s="31">
        <v>101908.47380529037</v>
      </c>
      <c r="AM17" s="31">
        <v>98851.219591131667</v>
      </c>
      <c r="AN17" s="31">
        <v>95885.683003397717</v>
      </c>
      <c r="AO17" s="31">
        <v>93009.112513295782</v>
      </c>
      <c r="AP17" s="31">
        <v>90218.83913789691</v>
      </c>
      <c r="AQ17" s="31">
        <v>87512.273963760017</v>
      </c>
      <c r="AR17" s="31">
        <v>84886.905744847201</v>
      </c>
      <c r="AS17" s="31">
        <v>82340.298572501793</v>
      </c>
    </row>
    <row r="18" spans="1:46" x14ac:dyDescent="0.25">
      <c r="A18" s="22" t="str">
        <v>Serving - Call session control function software</v>
      </c>
      <c r="B18" s="22"/>
      <c r="C18" s="22"/>
      <c r="D18" s="31">
        <v>979170.28933474154</v>
      </c>
      <c r="E18" s="31">
        <v>949795.18065469933</v>
      </c>
      <c r="F18" s="31">
        <v>921301.3252350582</v>
      </c>
      <c r="G18" s="31">
        <v>893662.28547800647</v>
      </c>
      <c r="H18" s="31">
        <v>866852.4169136663</v>
      </c>
      <c r="I18" s="31">
        <v>840846.84440625634</v>
      </c>
      <c r="J18" s="31">
        <v>815621.43907406868</v>
      </c>
      <c r="K18" s="31">
        <v>791152.79590184661</v>
      </c>
      <c r="L18" s="31">
        <v>767418.21202479117</v>
      </c>
      <c r="M18" s="31">
        <v>744395.66566404735</v>
      </c>
      <c r="N18" s="31">
        <v>722063.79569412593</v>
      </c>
      <c r="O18" s="31">
        <v>700401.88182330201</v>
      </c>
      <c r="P18" s="31">
        <v>679389.82536860299</v>
      </c>
      <c r="Q18" s="31">
        <v>659008.13060754491</v>
      </c>
      <c r="R18" s="31">
        <v>639237.88668931858</v>
      </c>
      <c r="S18" s="31">
        <v>620060.75008863909</v>
      </c>
      <c r="T18" s="31">
        <v>601458.92758597992</v>
      </c>
      <c r="U18" s="31">
        <v>583415.1597584004</v>
      </c>
      <c r="V18" s="31">
        <v>565912.70496564847</v>
      </c>
      <c r="W18" s="31">
        <v>548935.32381667895</v>
      </c>
      <c r="X18" s="90"/>
      <c r="Y18" s="90"/>
      <c r="Z18" s="31">
        <v>979170.28933474154</v>
      </c>
      <c r="AA18" s="31">
        <v>949795.18065469933</v>
      </c>
      <c r="AB18" s="31">
        <v>921301.3252350582</v>
      </c>
      <c r="AC18" s="31">
        <v>893662.28547800647</v>
      </c>
      <c r="AD18" s="31">
        <v>866852.4169136663</v>
      </c>
      <c r="AE18" s="31">
        <v>840846.84440625634</v>
      </c>
      <c r="AF18" s="31">
        <v>815621.43907406868</v>
      </c>
      <c r="AG18" s="31">
        <v>791152.79590184661</v>
      </c>
      <c r="AH18" s="31">
        <v>767418.21202479117</v>
      </c>
      <c r="AI18" s="31">
        <v>744395.66566404735</v>
      </c>
      <c r="AJ18" s="31">
        <v>722063.79569412593</v>
      </c>
      <c r="AK18" s="31">
        <v>700401.88182330201</v>
      </c>
      <c r="AL18" s="31">
        <v>679389.82536860299</v>
      </c>
      <c r="AM18" s="31">
        <v>659008.13060754491</v>
      </c>
      <c r="AN18" s="31">
        <v>639237.88668931858</v>
      </c>
      <c r="AO18" s="31">
        <v>620060.75008863909</v>
      </c>
      <c r="AP18" s="31">
        <v>601458.92758597992</v>
      </c>
      <c r="AQ18" s="31">
        <v>583415.1597584004</v>
      </c>
      <c r="AR18" s="31">
        <v>565912.70496564847</v>
      </c>
      <c r="AS18" s="31">
        <v>548935.32381667895</v>
      </c>
    </row>
    <row r="19" spans="1:46" x14ac:dyDescent="0.25">
      <c r="A19" s="22" t="str">
        <v>Media resource function - hardware</v>
      </c>
      <c r="B19" s="22"/>
      <c r="C19" s="22"/>
      <c r="D19" s="31">
        <v>1233754.5645617743</v>
      </c>
      <c r="E19" s="31">
        <v>1215737.8312380149</v>
      </c>
      <c r="F19" s="31">
        <v>1234543.7758149779</v>
      </c>
      <c r="G19" s="31">
        <v>1161760.9711214083</v>
      </c>
      <c r="H19" s="31">
        <v>1126908.1419877659</v>
      </c>
      <c r="I19" s="31">
        <v>1109917.834616258</v>
      </c>
      <c r="J19" s="31">
        <v>1076620.2995777703</v>
      </c>
      <c r="K19" s="31">
        <v>1044321.6905904372</v>
      </c>
      <c r="L19" s="31">
        <v>1028340.4041132201</v>
      </c>
      <c r="M19" s="31">
        <v>997490.19198982324</v>
      </c>
      <c r="N19" s="31">
        <v>967565.48623012868</v>
      </c>
      <c r="O19" s="31">
        <v>952546.55927969073</v>
      </c>
      <c r="P19" s="31">
        <v>923970.16250129999</v>
      </c>
      <c r="Q19" s="31">
        <v>896251.05762626103</v>
      </c>
      <c r="R19" s="31">
        <v>882148.28363125958</v>
      </c>
      <c r="S19" s="31">
        <v>855683.83512232185</v>
      </c>
      <c r="T19" s="31">
        <v>830013.32006865216</v>
      </c>
      <c r="U19" s="31">
        <v>816781.22366176068</v>
      </c>
      <c r="V19" s="31">
        <v>792277.78695190779</v>
      </c>
      <c r="W19" s="31">
        <v>768509.45334335044</v>
      </c>
      <c r="X19" s="90"/>
      <c r="Y19" s="90"/>
      <c r="Z19" s="31">
        <v>587502.17360084481</v>
      </c>
      <c r="AA19" s="31">
        <v>550881.20477972552</v>
      </c>
      <c r="AB19" s="31">
        <v>497502.7156269314</v>
      </c>
      <c r="AC19" s="31">
        <v>446831.14273900317</v>
      </c>
      <c r="AD19" s="31">
        <v>433426.20845683303</v>
      </c>
      <c r="AE19" s="31">
        <v>420423.42220312805</v>
      </c>
      <c r="AF19" s="31">
        <v>407810.71953703422</v>
      </c>
      <c r="AG19" s="31">
        <v>411399.45386896009</v>
      </c>
      <c r="AH19" s="31">
        <v>399057.47025289136</v>
      </c>
      <c r="AI19" s="31">
        <v>387085.74614530453</v>
      </c>
      <c r="AJ19" s="31">
        <v>375473.17376094544</v>
      </c>
      <c r="AK19" s="31">
        <v>364208.97854811704</v>
      </c>
      <c r="AL19" s="31">
        <v>353282.70919167355</v>
      </c>
      <c r="AM19" s="31">
        <v>342684.22791592334</v>
      </c>
      <c r="AN19" s="31">
        <v>332403.70107844565</v>
      </c>
      <c r="AO19" s="31">
        <v>334832.80504786508</v>
      </c>
      <c r="AP19" s="31">
        <v>324787.82089642913</v>
      </c>
      <c r="AQ19" s="31">
        <v>315044.18626953627</v>
      </c>
      <c r="AR19" s="31">
        <v>305592.86068145011</v>
      </c>
      <c r="AS19" s="31">
        <v>296425.07486100664</v>
      </c>
    </row>
    <row r="20" spans="1:46" x14ac:dyDescent="0.25">
      <c r="A20" s="22" t="str">
        <v>Media resource function - software</v>
      </c>
      <c r="B20" s="22"/>
      <c r="C20" s="22"/>
      <c r="D20" s="31">
        <v>705002.60832101386</v>
      </c>
      <c r="E20" s="31">
        <v>693350.48187793035</v>
      </c>
      <c r="F20" s="31">
        <v>700189.00717864418</v>
      </c>
      <c r="G20" s="31">
        <v>661310.09125372476</v>
      </c>
      <c r="H20" s="31">
        <v>641470.78851611295</v>
      </c>
      <c r="I20" s="31">
        <v>630635.13330469199</v>
      </c>
      <c r="J20" s="31">
        <v>611716.07930555136</v>
      </c>
      <c r="K20" s="31">
        <v>601276.1248854032</v>
      </c>
      <c r="L20" s="31">
        <v>583237.84113884124</v>
      </c>
      <c r="M20" s="31">
        <v>565740.70590467588</v>
      </c>
      <c r="N20" s="31">
        <v>555989.1226844769</v>
      </c>
      <c r="O20" s="31">
        <v>539309.44900394254</v>
      </c>
      <c r="P20" s="31">
        <v>523130.16553382424</v>
      </c>
      <c r="Q20" s="31">
        <v>514026.34187388502</v>
      </c>
      <c r="R20" s="31">
        <v>498605.55161766848</v>
      </c>
      <c r="S20" s="31">
        <v>489847.9925700248</v>
      </c>
      <c r="T20" s="31">
        <v>475152.55279292405</v>
      </c>
      <c r="U20" s="31">
        <v>460897.97620913637</v>
      </c>
      <c r="V20" s="31">
        <v>452730.1639725187</v>
      </c>
      <c r="W20" s="31">
        <v>439148.25905334315</v>
      </c>
      <c r="X20" s="90"/>
      <c r="Y20" s="90"/>
      <c r="Z20" s="31">
        <v>332917.89837381209</v>
      </c>
      <c r="AA20" s="31">
        <v>313432.40961605072</v>
      </c>
      <c r="AB20" s="31">
        <v>285603.41082286806</v>
      </c>
      <c r="AC20" s="31">
        <v>259162.06278862184</v>
      </c>
      <c r="AD20" s="31">
        <v>251387.20090496316</v>
      </c>
      <c r="AE20" s="31">
        <v>243845.58487781425</v>
      </c>
      <c r="AF20" s="31">
        <v>236530.21733147986</v>
      </c>
      <c r="AG20" s="31">
        <v>229434.31081153546</v>
      </c>
      <c r="AH20" s="31">
        <v>222551.28148718941</v>
      </c>
      <c r="AI20" s="31">
        <v>215874.74304257368</v>
      </c>
      <c r="AJ20" s="31">
        <v>216619.13870823776</v>
      </c>
      <c r="AK20" s="31">
        <v>210120.56454699062</v>
      </c>
      <c r="AL20" s="31">
        <v>203816.94761058089</v>
      </c>
      <c r="AM20" s="31">
        <v>197702.43918226348</v>
      </c>
      <c r="AN20" s="31">
        <v>191771.36600679558</v>
      </c>
      <c r="AO20" s="31">
        <v>186018.22502659171</v>
      </c>
      <c r="AP20" s="31">
        <v>186452.26755165376</v>
      </c>
      <c r="AQ20" s="31">
        <v>180858.69952510414</v>
      </c>
      <c r="AR20" s="31">
        <v>175432.93853935099</v>
      </c>
      <c r="AS20" s="31">
        <v>170169.95038317048</v>
      </c>
    </row>
    <row r="21" spans="1:46" x14ac:dyDescent="0.25">
      <c r="A21" s="22" t="str">
        <v>Access session border controller - hardware</v>
      </c>
      <c r="B21" s="22"/>
      <c r="C21" s="22"/>
      <c r="D21" s="31">
        <v>342709.60126715887</v>
      </c>
      <c r="E21" s="31">
        <v>332428.31322914409</v>
      </c>
      <c r="F21" s="31">
        <v>322455.46383226977</v>
      </c>
      <c r="G21" s="31">
        <v>312781.79991730169</v>
      </c>
      <c r="H21" s="31">
        <v>303398.34591978265</v>
      </c>
      <c r="I21" s="31">
        <v>294296.39554218913</v>
      </c>
      <c r="J21" s="31">
        <v>285467.50367592345</v>
      </c>
      <c r="K21" s="31">
        <v>276903.47856564575</v>
      </c>
      <c r="L21" s="31">
        <v>268596.3742086764</v>
      </c>
      <c r="M21" s="31">
        <v>260538.48298241603</v>
      </c>
      <c r="N21" s="31">
        <v>252722.32849294355</v>
      </c>
      <c r="O21" s="31">
        <v>245140.65863815526</v>
      </c>
      <c r="P21" s="31">
        <v>237786.43887901062</v>
      </c>
      <c r="Q21" s="31">
        <v>230652.84571264029</v>
      </c>
      <c r="R21" s="31">
        <v>223733.26034126108</v>
      </c>
      <c r="S21" s="31">
        <v>217021.26253102324</v>
      </c>
      <c r="T21" s="31">
        <v>210510.62465509257</v>
      </c>
      <c r="U21" s="31">
        <v>204195.30591543979</v>
      </c>
      <c r="V21" s="31">
        <v>198069.44673797657</v>
      </c>
      <c r="W21" s="31">
        <v>192127.36333583726</v>
      </c>
      <c r="X21" s="90"/>
      <c r="Y21" s="90"/>
      <c r="Z21" s="31">
        <v>146875.54340021094</v>
      </c>
      <c r="AA21" s="31">
        <v>142469.27709820462</v>
      </c>
      <c r="AB21" s="31">
        <v>138195.19878525846</v>
      </c>
      <c r="AC21" s="31">
        <v>134049.34282170073</v>
      </c>
      <c r="AD21" s="31">
        <v>130027.86253704969</v>
      </c>
      <c r="AE21" s="31">
        <v>126127.02666093819</v>
      </c>
      <c r="AF21" s="31">
        <v>122343.21586111005</v>
      </c>
      <c r="AG21" s="31">
        <v>118672.91938527673</v>
      </c>
      <c r="AH21" s="31">
        <v>115112.73180371846</v>
      </c>
      <c r="AI21" s="31">
        <v>111659.34984960686</v>
      </c>
      <c r="AJ21" s="31">
        <v>108309.56935411866</v>
      </c>
      <c r="AK21" s="31">
        <v>105060.28227349512</v>
      </c>
      <c r="AL21" s="31">
        <v>101908.47380529027</v>
      </c>
      <c r="AM21" s="31">
        <v>98851.21959113155</v>
      </c>
      <c r="AN21" s="31">
        <v>95885.6830033976</v>
      </c>
      <c r="AO21" s="31">
        <v>93009.112513295666</v>
      </c>
      <c r="AP21" s="31">
        <v>90218.839137896808</v>
      </c>
      <c r="AQ21" s="31">
        <v>87512.273963759915</v>
      </c>
      <c r="AR21" s="31">
        <v>84886.905744847099</v>
      </c>
      <c r="AS21" s="31">
        <v>82340.298572501692</v>
      </c>
    </row>
    <row r="22" spans="1:46" x14ac:dyDescent="0.25">
      <c r="A22" s="22" t="str">
        <v>Access session border controller - software</v>
      </c>
      <c r="B22" s="22"/>
      <c r="C22" s="22"/>
      <c r="D22" s="31">
        <v>1542193.2057022206</v>
      </c>
      <c r="E22" s="31">
        <v>1519672.2890475213</v>
      </c>
      <c r="F22" s="31">
        <v>1543179.7197687251</v>
      </c>
      <c r="G22" s="31">
        <v>1452201.2139017629</v>
      </c>
      <c r="H22" s="31">
        <v>1408635.17748471</v>
      </c>
      <c r="I22" s="31">
        <v>1387397.2932703251</v>
      </c>
      <c r="J22" s="31">
        <v>1345775.3744722153</v>
      </c>
      <c r="K22" s="31">
        <v>1305402.1132380492</v>
      </c>
      <c r="L22" s="31">
        <v>1285425.5051415274</v>
      </c>
      <c r="M22" s="31">
        <v>1246862.7399872814</v>
      </c>
      <c r="N22" s="31">
        <v>1209456.8577876631</v>
      </c>
      <c r="O22" s="31">
        <v>1190683.1990996154</v>
      </c>
      <c r="P22" s="31">
        <v>1154962.7031266273</v>
      </c>
      <c r="Q22" s="31">
        <v>1120313.8220328283</v>
      </c>
      <c r="R22" s="31">
        <v>1102685.3545390763</v>
      </c>
      <c r="S22" s="31">
        <v>1069604.793902904</v>
      </c>
      <c r="T22" s="31">
        <v>1037516.6500858171</v>
      </c>
      <c r="U22" s="31">
        <v>1020976.5295772026</v>
      </c>
      <c r="V22" s="31">
        <v>990347.2336898864</v>
      </c>
      <c r="W22" s="31">
        <v>960636.81667918991</v>
      </c>
      <c r="X22" s="90"/>
      <c r="Y22" s="90"/>
      <c r="Z22" s="31">
        <v>734377.71700105735</v>
      </c>
      <c r="AA22" s="31">
        <v>688601.50597465807</v>
      </c>
      <c r="AB22" s="31">
        <v>621878.39453366539</v>
      </c>
      <c r="AC22" s="31">
        <v>558538.92842375499</v>
      </c>
      <c r="AD22" s="31">
        <v>541782.76057104231</v>
      </c>
      <c r="AE22" s="31">
        <v>525529.27775391098</v>
      </c>
      <c r="AF22" s="31">
        <v>509763.3994212937</v>
      </c>
      <c r="AG22" s="31">
        <v>514249.3173362012</v>
      </c>
      <c r="AH22" s="31">
        <v>498821.83781611512</v>
      </c>
      <c r="AI22" s="31">
        <v>483857.18268163159</v>
      </c>
      <c r="AJ22" s="31">
        <v>469341.46720118268</v>
      </c>
      <c r="AK22" s="31">
        <v>455261.2231851471</v>
      </c>
      <c r="AL22" s="31">
        <v>441603.38648959273</v>
      </c>
      <c r="AM22" s="31">
        <v>428355.28489490494</v>
      </c>
      <c r="AN22" s="31">
        <v>415504.62634805776</v>
      </c>
      <c r="AO22" s="31">
        <v>418541.00630983204</v>
      </c>
      <c r="AP22" s="31">
        <v>405984.77612053714</v>
      </c>
      <c r="AQ22" s="31">
        <v>393805.232836921</v>
      </c>
      <c r="AR22" s="31">
        <v>381991.07585181337</v>
      </c>
      <c r="AS22" s="31">
        <v>370531.34357625898</v>
      </c>
    </row>
    <row r="23" spans="1:46" x14ac:dyDescent="0.25">
      <c r="A23" s="22" t="str">
        <v>Internet exchange point session border controller - hardware</v>
      </c>
      <c r="B23" s="22"/>
      <c r="C23" s="22"/>
      <c r="D23" s="31">
        <v>220313.3151003161</v>
      </c>
      <c r="E23" s="31">
        <v>213703.91564730663</v>
      </c>
      <c r="F23" s="31">
        <v>207292.79817788739</v>
      </c>
      <c r="G23" s="31">
        <v>201074.01423255081</v>
      </c>
      <c r="H23" s="31">
        <v>195041.79380557424</v>
      </c>
      <c r="I23" s="31">
        <v>189190.53999140701</v>
      </c>
      <c r="J23" s="31">
        <v>183514.82379166479</v>
      </c>
      <c r="K23" s="31">
        <v>178009.37907791487</v>
      </c>
      <c r="L23" s="31">
        <v>172669.09770557744</v>
      </c>
      <c r="M23" s="31">
        <v>167489.02477441006</v>
      </c>
      <c r="N23" s="31">
        <v>162464.35403117776</v>
      </c>
      <c r="O23" s="31">
        <v>157590.42341024242</v>
      </c>
      <c r="P23" s="31">
        <v>152862.71070793518</v>
      </c>
      <c r="Q23" s="31">
        <v>148276.82938669709</v>
      </c>
      <c r="R23" s="31">
        <v>143828.5245050962</v>
      </c>
      <c r="S23" s="31">
        <v>139513.6687699433</v>
      </c>
      <c r="T23" s="31">
        <v>135328.25870684502</v>
      </c>
      <c r="U23" s="31">
        <v>131268.41094563968</v>
      </c>
      <c r="V23" s="31">
        <v>127330.3586172705</v>
      </c>
      <c r="W23" s="31">
        <v>123510.44785875233</v>
      </c>
      <c r="X23" s="90"/>
      <c r="Y23" s="90"/>
      <c r="Z23" s="208">
        <v>73437.771700105368</v>
      </c>
      <c r="AA23" s="208">
        <v>71234.638549102208</v>
      </c>
      <c r="AB23" s="208">
        <v>69097.599392629127</v>
      </c>
      <c r="AC23" s="208">
        <v>67024.671410850264</v>
      </c>
      <c r="AD23" s="208">
        <v>65013.93126852475</v>
      </c>
      <c r="AE23" s="208">
        <v>63063.51333046901</v>
      </c>
      <c r="AF23" s="208">
        <v>61171.607930554936</v>
      </c>
      <c r="AG23" s="208">
        <v>59336.459692638287</v>
      </c>
      <c r="AH23" s="208">
        <v>57556.365901859142</v>
      </c>
      <c r="AI23" s="208">
        <v>55829.674924803359</v>
      </c>
      <c r="AJ23" s="208">
        <v>54154.784677059259</v>
      </c>
      <c r="AK23" s="208">
        <v>52530.141136747472</v>
      </c>
      <c r="AL23" s="208">
        <v>50954.236902645061</v>
      </c>
      <c r="AM23" s="208">
        <v>49425.609795565702</v>
      </c>
      <c r="AN23" s="208">
        <v>47942.841501698727</v>
      </c>
      <c r="AO23" s="208">
        <v>46504.556256647767</v>
      </c>
      <c r="AP23" s="208">
        <v>45109.419568948339</v>
      </c>
      <c r="AQ23" s="208">
        <v>43756.136981879892</v>
      </c>
      <c r="AR23" s="208">
        <v>42443.452872423499</v>
      </c>
      <c r="AS23" s="208">
        <v>41170.14928625078</v>
      </c>
    </row>
    <row r="24" spans="1:46" x14ac:dyDescent="0.25">
      <c r="A24" s="22" t="str">
        <v>Internet exchange point session border controller - software</v>
      </c>
      <c r="B24" s="22"/>
      <c r="C24" s="22"/>
      <c r="D24" s="31">
        <v>807815.48870116111</v>
      </c>
      <c r="E24" s="31">
        <v>783581.02404012636</v>
      </c>
      <c r="F24" s="31">
        <v>829171.19271155179</v>
      </c>
      <c r="G24" s="31">
        <v>804296.05693020532</v>
      </c>
      <c r="H24" s="31">
        <v>780167.17522229906</v>
      </c>
      <c r="I24" s="31">
        <v>756762.15996563004</v>
      </c>
      <c r="J24" s="31">
        <v>734059.29516666115</v>
      </c>
      <c r="K24" s="31">
        <v>712037.51631166134</v>
      </c>
      <c r="L24" s="31">
        <v>690676.39082231151</v>
      </c>
      <c r="M24" s="31">
        <v>669956.09909764212</v>
      </c>
      <c r="N24" s="31">
        <v>649857.41612471291</v>
      </c>
      <c r="O24" s="31">
        <v>630361.69364097144</v>
      </c>
      <c r="P24" s="31">
        <v>611450.84283174225</v>
      </c>
      <c r="Q24" s="31">
        <v>593107.31754679</v>
      </c>
      <c r="R24" s="31">
        <v>575314.0980203863</v>
      </c>
      <c r="S24" s="31">
        <v>558054.67507977469</v>
      </c>
      <c r="T24" s="31">
        <v>541313.03482738149</v>
      </c>
      <c r="U24" s="31">
        <v>525073.64378256013</v>
      </c>
      <c r="V24" s="31">
        <v>509321.43446908321</v>
      </c>
      <c r="W24" s="31">
        <v>494041.79143501073</v>
      </c>
      <c r="X24" s="90"/>
      <c r="Y24" s="90"/>
      <c r="Z24" s="31">
        <v>293751.08680042223</v>
      </c>
      <c r="AA24" s="31">
        <v>284938.55419640959</v>
      </c>
      <c r="AB24" s="31">
        <v>276390.39757051726</v>
      </c>
      <c r="AC24" s="31">
        <v>268098.68564340175</v>
      </c>
      <c r="AD24" s="31">
        <v>260055.7250740997</v>
      </c>
      <c r="AE24" s="31">
        <v>252254.05332187668</v>
      </c>
      <c r="AF24" s="31">
        <v>244686.43172222038</v>
      </c>
      <c r="AG24" s="31">
        <v>237345.83877055379</v>
      </c>
      <c r="AH24" s="31">
        <v>230225.46360743718</v>
      </c>
      <c r="AI24" s="31">
        <v>223318.69969921402</v>
      </c>
      <c r="AJ24" s="31">
        <v>216619.13870823762</v>
      </c>
      <c r="AK24" s="31">
        <v>210120.56454699047</v>
      </c>
      <c r="AL24" s="31">
        <v>203816.94761058074</v>
      </c>
      <c r="AM24" s="31">
        <v>197702.43918226333</v>
      </c>
      <c r="AN24" s="31">
        <v>191771.36600679543</v>
      </c>
      <c r="AO24" s="31">
        <v>186018.22502659156</v>
      </c>
      <c r="AP24" s="31">
        <v>180437.67827579382</v>
      </c>
      <c r="AQ24" s="31">
        <v>175024.54792752003</v>
      </c>
      <c r="AR24" s="31">
        <v>169773.8114896944</v>
      </c>
      <c r="AS24" s="31">
        <v>164680.59714500359</v>
      </c>
    </row>
    <row r="25" spans="1:46" x14ac:dyDescent="0.25">
      <c r="C25" s="17" t="s">
        <v>188</v>
      </c>
    </row>
    <row r="26" spans="1:46" x14ac:dyDescent="0.25">
      <c r="A26" s="22" t="s">
        <v>197</v>
      </c>
      <c r="B26" s="22"/>
      <c r="C26" s="22"/>
      <c r="D26" s="21">
        <f t="shared" ref="D26:W26" si="0">SUM(D9:D24)</f>
        <v>14007030.988933472</v>
      </c>
      <c r="E26" s="21">
        <f t="shared" si="0"/>
        <v>13639058.794201476</v>
      </c>
      <c r="F26" s="21">
        <f t="shared" si="0"/>
        <v>13450999.348431846</v>
      </c>
      <c r="G26" s="21">
        <f t="shared" si="0"/>
        <v>12949166.516576309</v>
      </c>
      <c r="H26" s="21">
        <f t="shared" si="0"/>
        <v>12560691.521079019</v>
      </c>
      <c r="I26" s="21">
        <f t="shared" si="0"/>
        <v>12230117.351888994</v>
      </c>
      <c r="J26" s="21">
        <f t="shared" si="0"/>
        <v>11863213.831332322</v>
      </c>
      <c r="K26" s="21">
        <f t="shared" si="0"/>
        <v>11515228.944351375</v>
      </c>
      <c r="L26" s="21">
        <f t="shared" si="0"/>
        <v>11204305.895561947</v>
      </c>
      <c r="M26" s="21">
        <f t="shared" si="0"/>
        <v>10868176.718695085</v>
      </c>
      <c r="N26" s="21">
        <f t="shared" si="0"/>
        <v>10549352.055091174</v>
      </c>
      <c r="O26" s="21">
        <f t="shared" si="0"/>
        <v>10264389.578120489</v>
      </c>
      <c r="P26" s="21">
        <f t="shared" si="0"/>
        <v>9956457.8907768708</v>
      </c>
      <c r="Q26" s="21">
        <f t="shared" si="0"/>
        <v>9664354.2353596427</v>
      </c>
      <c r="R26" s="21">
        <f t="shared" si="0"/>
        <v>9403189.3131998722</v>
      </c>
      <c r="S26" s="21">
        <f t="shared" si="0"/>
        <v>9127294.2413047608</v>
      </c>
      <c r="T26" s="21">
        <f t="shared" si="0"/>
        <v>8853475.4140656218</v>
      </c>
      <c r="U26" s="21">
        <f t="shared" si="0"/>
        <v>8614124.8338327799</v>
      </c>
      <c r="V26" s="21">
        <f t="shared" si="0"/>
        <v>8361360.2158674523</v>
      </c>
      <c r="W26" s="21">
        <f t="shared" si="0"/>
        <v>8110519.4093914302</v>
      </c>
      <c r="X26" s="20" t="s">
        <v>198</v>
      </c>
      <c r="Z26" s="21">
        <f t="shared" ref="Z26:AS26" si="1">SUM(Z9:Z24)</f>
        <v>11324104.396156281</v>
      </c>
      <c r="AA26" s="21">
        <f t="shared" si="1"/>
        <v>10932142.529335584</v>
      </c>
      <c r="AB26" s="21">
        <f t="shared" si="1"/>
        <v>10502835.107679658</v>
      </c>
      <c r="AC26" s="21">
        <f t="shared" si="1"/>
        <v>10089447.203046687</v>
      </c>
      <c r="AD26" s="21">
        <f t="shared" si="1"/>
        <v>9786763.7869552858</v>
      </c>
      <c r="AE26" s="21">
        <f t="shared" si="1"/>
        <v>9493160.8733466305</v>
      </c>
      <c r="AF26" s="21">
        <f t="shared" si="1"/>
        <v>9208366.0471462291</v>
      </c>
      <c r="AG26" s="21">
        <f t="shared" si="1"/>
        <v>8967716.9415474273</v>
      </c>
      <c r="AH26" s="21">
        <f t="shared" si="1"/>
        <v>8698685.4333010036</v>
      </c>
      <c r="AI26" s="21">
        <f t="shared" si="1"/>
        <v>8437724.8703019712</v>
      </c>
      <c r="AJ26" s="21">
        <f t="shared" si="1"/>
        <v>8191813.7621498527</v>
      </c>
      <c r="AK26" s="21">
        <f t="shared" si="1"/>
        <v>7946059.3492853586</v>
      </c>
      <c r="AL26" s="21">
        <f t="shared" si="1"/>
        <v>7707677.5688067963</v>
      </c>
      <c r="AM26" s="21">
        <f t="shared" si="1"/>
        <v>7476447.2417425923</v>
      </c>
      <c r="AN26" s="21">
        <f t="shared" si="1"/>
        <v>7252153.8244903153</v>
      </c>
      <c r="AO26" s="21">
        <f t="shared" si="1"/>
        <v>7062491.9435095945</v>
      </c>
      <c r="AP26" s="21">
        <f t="shared" si="1"/>
        <v>6856631.7744801678</v>
      </c>
      <c r="AQ26" s="21">
        <f t="shared" si="1"/>
        <v>6650932.8212457616</v>
      </c>
      <c r="AR26" s="21">
        <f t="shared" si="1"/>
        <v>6451404.8366083885</v>
      </c>
      <c r="AS26" s="21">
        <f t="shared" si="1"/>
        <v>6257862.6915101381</v>
      </c>
      <c r="AT26" s="20" t="s">
        <v>199</v>
      </c>
    </row>
    <row r="27" spans="1:46" x14ac:dyDescent="0.25">
      <c r="A27" s="22" t="s">
        <v>200</v>
      </c>
      <c r="B27" s="22"/>
      <c r="C27" s="21">
        <f>SUM(_xlfn.ANCHORARRAY(D27))</f>
        <v>63625243.021500662</v>
      </c>
      <c r="D27" s="21" cm="1">
        <f t="array" ref="D27:W27">core_total_costs/wacc_index</f>
        <v>11832761.131094804</v>
      </c>
      <c r="E27" s="21">
        <v>9805879.2921532113</v>
      </c>
      <c r="F27" s="21">
        <v>8183926.2723680297</v>
      </c>
      <c r="G27" s="21">
        <v>6627245.7050389685</v>
      </c>
      <c r="H27" s="21">
        <v>5361307.7616109839</v>
      </c>
      <c r="I27" s="21">
        <v>4348932.2474841755</v>
      </c>
      <c r="J27" s="21">
        <v>3514383.9365974828</v>
      </c>
      <c r="K27" s="21">
        <v>2841935.7340553594</v>
      </c>
      <c r="L27" s="21">
        <v>2303676.3417980322</v>
      </c>
      <c r="M27" s="21">
        <v>1861607.095722894</v>
      </c>
      <c r="N27" s="21">
        <v>1505400.1300117623</v>
      </c>
      <c r="O27" s="21">
        <v>1220264.9004489549</v>
      </c>
      <c r="P27" s="21">
        <v>986099.37347549747</v>
      </c>
      <c r="Q27" s="21">
        <v>797413.32913910621</v>
      </c>
      <c r="R27" s="21">
        <v>646369.20872189349</v>
      </c>
      <c r="S27" s="21">
        <v>522687.7963142654</v>
      </c>
      <c r="T27" s="21">
        <v>422385.42490171921</v>
      </c>
      <c r="U27" s="21">
        <v>342374.27723911311</v>
      </c>
      <c r="V27" s="21">
        <v>276860.96616152808</v>
      </c>
      <c r="W27" s="21">
        <v>223732.0971628851</v>
      </c>
      <c r="Y27" s="21">
        <f>SUM(_xlfn.ANCHORARRAY(Z27))</f>
        <v>50082362.707515419</v>
      </c>
      <c r="Z27" s="21" cm="1">
        <f t="array" ref="Z27:AS27">core_total_costs_noincoming/wacc_index</f>
        <v>9566297.2723601125</v>
      </c>
      <c r="AA27" s="21">
        <v>7859726.3685712721</v>
      </c>
      <c r="AB27" s="21">
        <v>6390189.0071914736</v>
      </c>
      <c r="AC27" s="21">
        <v>5163671.7743195267</v>
      </c>
      <c r="AD27" s="21">
        <v>4177306.0475216005</v>
      </c>
      <c r="AE27" s="21">
        <v>3375692.3392297248</v>
      </c>
      <c r="AF27" s="21">
        <v>2727906.128854285</v>
      </c>
      <c r="AG27" s="21">
        <v>2213214.8090358977</v>
      </c>
      <c r="AH27" s="21">
        <v>1788504.8859096363</v>
      </c>
      <c r="AI27" s="21">
        <v>1445295.6458917125</v>
      </c>
      <c r="AJ27" s="21">
        <v>1168977.7190269295</v>
      </c>
      <c r="AK27" s="21">
        <v>944654.06315888034</v>
      </c>
      <c r="AL27" s="21">
        <v>763377.50884200062</v>
      </c>
      <c r="AM27" s="21">
        <v>616887.43396407482</v>
      </c>
      <c r="AN27" s="21">
        <v>498508.407406518</v>
      </c>
      <c r="AO27" s="21">
        <v>404443.88587088877</v>
      </c>
      <c r="AP27" s="21">
        <v>327119.14700269012</v>
      </c>
      <c r="AQ27" s="21">
        <v>264345.86932108965</v>
      </c>
      <c r="AR27" s="21">
        <v>213618.61348503685</v>
      </c>
      <c r="AS27" s="21">
        <v>172625.78055207373</v>
      </c>
    </row>
    <row r="28" spans="1:46" x14ac:dyDescent="0.25"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BE3D-94F1-4617-B6B2-3921623244D9}">
  <dimension ref="A1:X17"/>
  <sheetViews>
    <sheetView zoomScaleNormal="100" workbookViewId="0">
      <selection sqref="A1:XFD1"/>
    </sheetView>
  </sheetViews>
  <sheetFormatPr defaultColWidth="8.5703125" defaultRowHeight="15" x14ac:dyDescent="0.25"/>
  <cols>
    <col min="1" max="1" width="37.42578125" style="17" customWidth="1"/>
    <col min="2" max="2" width="15.5703125" style="17" customWidth="1"/>
    <col min="3" max="3" width="26" style="17" customWidth="1"/>
    <col min="4" max="23" width="15.7109375" style="17" customWidth="1"/>
    <col min="24" max="16384" width="8.5703125" style="17"/>
  </cols>
  <sheetData>
    <row r="1" spans="1:23" ht="18.75" x14ac:dyDescent="0.3">
      <c r="A1" s="98" t="s">
        <v>201</v>
      </c>
      <c r="B1" s="99"/>
      <c r="C1" s="99"/>
      <c r="D1" s="100"/>
      <c r="E1" s="100"/>
      <c r="F1" s="100"/>
      <c r="G1" s="100"/>
      <c r="H1" s="100"/>
      <c r="I1" s="100"/>
      <c r="J1" s="100"/>
      <c r="K1" s="100"/>
    </row>
    <row r="2" spans="1:23" x14ac:dyDescent="0.25">
      <c r="A2" s="23"/>
    </row>
    <row r="3" spans="1:23" x14ac:dyDescent="0.25">
      <c r="A3" s="95" t="s">
        <v>166</v>
      </c>
      <c r="B3" s="55"/>
      <c r="C3" s="55"/>
    </row>
    <row r="5" spans="1:23" x14ac:dyDescent="0.25">
      <c r="A5" s="17" t="s">
        <v>386</v>
      </c>
      <c r="C5" s="34" t="s">
        <v>392</v>
      </c>
      <c r="D5" s="34" cm="1">
        <f t="array" ref="D5:W5">years</f>
        <v>2018</v>
      </c>
      <c r="E5" s="34">
        <v>2019</v>
      </c>
      <c r="F5" s="34">
        <v>2020</v>
      </c>
      <c r="G5" s="34">
        <v>2021</v>
      </c>
      <c r="H5" s="34">
        <v>2022</v>
      </c>
      <c r="I5" s="34">
        <v>2023</v>
      </c>
      <c r="J5" s="34">
        <v>2024</v>
      </c>
      <c r="K5" s="34">
        <v>2025</v>
      </c>
      <c r="L5" s="34">
        <v>2026</v>
      </c>
      <c r="M5" s="34">
        <v>2027</v>
      </c>
      <c r="N5" s="34">
        <v>2028</v>
      </c>
      <c r="O5" s="34">
        <v>2029</v>
      </c>
      <c r="P5" s="34">
        <v>2030</v>
      </c>
      <c r="Q5" s="34">
        <v>2031</v>
      </c>
      <c r="R5" s="34">
        <v>2032</v>
      </c>
      <c r="S5" s="34">
        <v>2033</v>
      </c>
      <c r="T5" s="34">
        <v>2034</v>
      </c>
      <c r="U5" s="34">
        <v>2035</v>
      </c>
      <c r="V5" s="34">
        <v>2036</v>
      </c>
      <c r="W5" s="34">
        <v>2037</v>
      </c>
    </row>
    <row r="6" spans="1:23" x14ac:dyDescent="0.25">
      <c r="A6" s="17" t="s">
        <v>387</v>
      </c>
      <c r="D6" s="31" cm="1">
        <f t="array" ref="D6:W6">core_costs-core_costs_noincoming</f>
        <v>38327522.753959894</v>
      </c>
      <c r="E6" s="31">
        <v>1492535.2838859567</v>
      </c>
      <c r="F6" s="31">
        <v>4606506.6261752918</v>
      </c>
      <c r="G6" s="31">
        <v>1404326.4486082967</v>
      </c>
      <c r="H6" s="31">
        <v>0</v>
      </c>
      <c r="I6" s="31">
        <v>660665.37774777319</v>
      </c>
      <c r="J6" s="31">
        <v>0</v>
      </c>
      <c r="K6" s="31">
        <v>-395576.39795092371</v>
      </c>
      <c r="L6" s="31">
        <v>32450827.251334041</v>
      </c>
      <c r="M6" s="31">
        <v>14994255.551232943</v>
      </c>
      <c r="N6" s="31">
        <v>21146154.016756527</v>
      </c>
      <c r="O6" s="31">
        <v>18560649.868317492</v>
      </c>
      <c r="P6" s="31">
        <v>16499467.187523205</v>
      </c>
      <c r="Q6" s="31">
        <v>16616419.293175943</v>
      </c>
      <c r="R6" s="31">
        <v>15935287.318183716</v>
      </c>
      <c r="S6" s="31">
        <v>14438557.466349728</v>
      </c>
      <c r="T6" s="31">
        <v>25562004.422404125</v>
      </c>
      <c r="U6" s="31">
        <v>15460501.733597605</v>
      </c>
      <c r="V6" s="31">
        <v>16654002.460417643</v>
      </c>
      <c r="W6" s="31">
        <v>14546786.081141986</v>
      </c>
    </row>
    <row r="7" spans="1:23" x14ac:dyDescent="0.25">
      <c r="A7" s="17" t="s">
        <v>388</v>
      </c>
      <c r="D7" s="31" cm="1">
        <f t="array" ref="D7:W7">core_total_costs-core_total_costs_noincoming</f>
        <v>2682926.5927771907</v>
      </c>
      <c r="E7" s="31">
        <v>2706916.264865892</v>
      </c>
      <c r="F7" s="31">
        <v>2948164.2407521885</v>
      </c>
      <c r="G7" s="31">
        <v>2859719.3135296218</v>
      </c>
      <c r="H7" s="31">
        <v>2773927.7341237329</v>
      </c>
      <c r="I7" s="31">
        <v>2736956.4785423633</v>
      </c>
      <c r="J7" s="31">
        <v>2654847.7841860931</v>
      </c>
      <c r="K7" s="31">
        <v>2547512.0028039478</v>
      </c>
      <c r="L7" s="31">
        <v>2505620.4622609429</v>
      </c>
      <c r="M7" s="31">
        <v>2430451.8483931143</v>
      </c>
      <c r="N7" s="31">
        <v>2357538.2929413216</v>
      </c>
      <c r="O7" s="31">
        <v>2318330.2288351301</v>
      </c>
      <c r="P7" s="31">
        <v>2248780.3219700744</v>
      </c>
      <c r="Q7" s="31">
        <v>2187906.9936170503</v>
      </c>
      <c r="R7" s="31">
        <v>2151035.4887095569</v>
      </c>
      <c r="S7" s="31">
        <v>2064802.2977951663</v>
      </c>
      <c r="T7" s="31">
        <v>1996843.639585454</v>
      </c>
      <c r="U7" s="31">
        <v>1963192.0125870183</v>
      </c>
      <c r="V7" s="31">
        <v>1909955.3792590639</v>
      </c>
      <c r="W7" s="31">
        <v>1852656.7178812921</v>
      </c>
    </row>
    <row r="8" spans="1:23" x14ac:dyDescent="0.25">
      <c r="A8" s="17" t="s">
        <v>190</v>
      </c>
      <c r="D8" s="31">
        <f>SUM(D6:D7)</f>
        <v>41010449.346737087</v>
      </c>
      <c r="E8" s="31">
        <f t="shared" ref="E8:W8" si="0">SUM(E6:E7)</f>
        <v>4199451.5487518487</v>
      </c>
      <c r="F8" s="31">
        <f t="shared" si="0"/>
        <v>7554670.8669274803</v>
      </c>
      <c r="G8" s="31">
        <f t="shared" si="0"/>
        <v>4264045.7621379187</v>
      </c>
      <c r="H8" s="31">
        <f t="shared" si="0"/>
        <v>2773927.7341237329</v>
      </c>
      <c r="I8" s="31">
        <f t="shared" si="0"/>
        <v>3397621.8562901365</v>
      </c>
      <c r="J8" s="31">
        <f t="shared" si="0"/>
        <v>2654847.7841860931</v>
      </c>
      <c r="K8" s="31">
        <f t="shared" si="0"/>
        <v>2151935.6048530242</v>
      </c>
      <c r="L8" s="31">
        <f t="shared" si="0"/>
        <v>34956447.713594988</v>
      </c>
      <c r="M8" s="31">
        <f t="shared" si="0"/>
        <v>17424707.399626058</v>
      </c>
      <c r="N8" s="31">
        <f t="shared" si="0"/>
        <v>23503692.309697848</v>
      </c>
      <c r="O8" s="31">
        <f t="shared" si="0"/>
        <v>20878980.097152621</v>
      </c>
      <c r="P8" s="31">
        <f t="shared" si="0"/>
        <v>18748247.50949328</v>
      </c>
      <c r="Q8" s="31">
        <f t="shared" si="0"/>
        <v>18804326.286792994</v>
      </c>
      <c r="R8" s="31">
        <f t="shared" si="0"/>
        <v>18086322.806893274</v>
      </c>
      <c r="S8" s="31">
        <f t="shared" si="0"/>
        <v>16503359.764144894</v>
      </c>
      <c r="T8" s="31">
        <f t="shared" si="0"/>
        <v>27558848.061989579</v>
      </c>
      <c r="U8" s="31">
        <f t="shared" si="0"/>
        <v>17423693.746184625</v>
      </c>
      <c r="V8" s="31">
        <f t="shared" si="0"/>
        <v>18563957.839676708</v>
      </c>
      <c r="W8" s="31">
        <f t="shared" si="0"/>
        <v>16399442.799023278</v>
      </c>
    </row>
    <row r="9" spans="1:23" x14ac:dyDescent="0.25">
      <c r="A9" s="17" t="s">
        <v>391</v>
      </c>
      <c r="C9" s="21">
        <f>SUM(_xlfn.ANCHORARRAY(D9))</f>
        <v>72831441.136163071</v>
      </c>
      <c r="D9" s="226" cm="1">
        <f t="array" ref="D9:W9">D8:W8/wacc_index</f>
        <v>34644518.983516023</v>
      </c>
      <c r="E9" s="31">
        <v>3019219.6984892758</v>
      </c>
      <c r="F9" s="31">
        <v>4596451.7420149241</v>
      </c>
      <c r="G9" s="31">
        <v>2182293.2716977401</v>
      </c>
      <c r="H9" s="31">
        <v>1184001.7140893829</v>
      </c>
      <c r="I9" s="31">
        <v>1208167.2506024647</v>
      </c>
      <c r="J9" s="31">
        <v>786477.80774319777</v>
      </c>
      <c r="K9" s="31">
        <v>531093.45219035272</v>
      </c>
      <c r="L9" s="31">
        <v>7187267.3186302558</v>
      </c>
      <c r="M9" s="31">
        <v>2984673.4899185398</v>
      </c>
      <c r="N9" s="31">
        <v>3353993.8068234087</v>
      </c>
      <c r="O9" s="31">
        <v>2482162.857890367</v>
      </c>
      <c r="P9" s="31">
        <v>1856848.6228421489</v>
      </c>
      <c r="Q9" s="31">
        <v>1551559.4794432328</v>
      </c>
      <c r="R9" s="31">
        <v>1243242.2417540506</v>
      </c>
      <c r="S9" s="31">
        <v>945088.92984579562</v>
      </c>
      <c r="T9" s="31">
        <v>1314789.4136546715</v>
      </c>
      <c r="U9" s="31">
        <v>692516.61291880207</v>
      </c>
      <c r="V9" s="31">
        <v>614688.89876568411</v>
      </c>
      <c r="W9" s="31">
        <v>452385.54333273711</v>
      </c>
    </row>
    <row r="11" spans="1:23" x14ac:dyDescent="0.25">
      <c r="C11" s="34" t="s">
        <v>392</v>
      </c>
      <c r="D11" s="34" cm="1">
        <f t="array" ref="D11:W11">years</f>
        <v>2018</v>
      </c>
      <c r="E11" s="34">
        <v>2019</v>
      </c>
      <c r="F11" s="34">
        <v>2020</v>
      </c>
      <c r="G11" s="34">
        <v>2021</v>
      </c>
      <c r="H11" s="34">
        <v>2022</v>
      </c>
      <c r="I11" s="34">
        <v>2023</v>
      </c>
      <c r="J11" s="34">
        <v>2024</v>
      </c>
      <c r="K11" s="34">
        <v>2025</v>
      </c>
      <c r="L11" s="34">
        <v>2026</v>
      </c>
      <c r="M11" s="34">
        <v>2027</v>
      </c>
      <c r="N11" s="34">
        <v>2028</v>
      </c>
      <c r="O11" s="34">
        <v>2029</v>
      </c>
      <c r="P11" s="34">
        <v>2030</v>
      </c>
      <c r="Q11" s="34">
        <v>2031</v>
      </c>
      <c r="R11" s="34">
        <v>2032</v>
      </c>
      <c r="S11" s="34">
        <v>2033</v>
      </c>
      <c r="T11" s="34">
        <v>2034</v>
      </c>
      <c r="U11" s="34">
        <v>2035</v>
      </c>
      <c r="V11" s="34">
        <v>2036</v>
      </c>
      <c r="W11" s="34">
        <v>2037</v>
      </c>
    </row>
    <row r="12" spans="1:23" x14ac:dyDescent="0.25">
      <c r="A12" s="17" t="s">
        <v>389</v>
      </c>
      <c r="D12" s="31">
        <f>'2 Dimensioning'!D170</f>
        <v>1140141130</v>
      </c>
      <c r="E12" s="31">
        <f>'2 Dimensioning'!E170</f>
        <v>1305935120</v>
      </c>
      <c r="F12" s="31">
        <f>'2 Dimensioning'!F170</f>
        <v>1447226700</v>
      </c>
      <c r="G12" s="31">
        <f>'2 Dimensioning'!G170</f>
        <v>1395676992</v>
      </c>
      <c r="H12" s="31">
        <f>'2 Dimensioning'!H170</f>
        <v>1402655376.9599998</v>
      </c>
      <c r="I12" s="31">
        <f>'2 Dimensioning'!I170</f>
        <v>1409668653.8448</v>
      </c>
      <c r="J12" s="31">
        <f>'2 Dimensioning'!J170</f>
        <v>1416716997.1140237</v>
      </c>
      <c r="K12" s="31">
        <f>'2 Dimensioning'!K170</f>
        <v>1423800582.0995934</v>
      </c>
      <c r="L12" s="31">
        <f>'2 Dimensioning'!L170</f>
        <v>1430919585.0100913</v>
      </c>
      <c r="M12" s="31">
        <f>'2 Dimensioning'!M170</f>
        <v>1438074182.9351418</v>
      </c>
      <c r="N12" s="31">
        <f>'2 Dimensioning'!N170</f>
        <v>1445264553.8498173</v>
      </c>
      <c r="O12" s="31">
        <f>'2 Dimensioning'!O170</f>
        <v>1452490876.6190662</v>
      </c>
      <c r="P12" s="31">
        <f>'2 Dimensioning'!P170</f>
        <v>1459753331.0021613</v>
      </c>
      <c r="Q12" s="31">
        <f>'2 Dimensioning'!Q170</f>
        <v>1467052097.657172</v>
      </c>
      <c r="R12" s="31">
        <f>'2 Dimensioning'!R170</f>
        <v>1474387358.1454575</v>
      </c>
      <c r="S12" s="31">
        <f>'2 Dimensioning'!S170</f>
        <v>1481759294.9361849</v>
      </c>
      <c r="T12" s="31">
        <f>'2 Dimensioning'!T170</f>
        <v>1489168091.4108653</v>
      </c>
      <c r="U12" s="31">
        <f>'2 Dimensioning'!U170</f>
        <v>1496613931.8679194</v>
      </c>
      <c r="V12" s="31">
        <f>'2 Dimensioning'!V170</f>
        <v>1504097001.5272591</v>
      </c>
      <c r="W12" s="31">
        <f>'2 Dimensioning'!W170</f>
        <v>1511617486.5348952</v>
      </c>
    </row>
    <row r="13" spans="1:23" x14ac:dyDescent="0.25">
      <c r="A13" s="17" t="s">
        <v>390</v>
      </c>
      <c r="C13" s="21">
        <f>SUM(_xlfn.ANCHORARRAY(D13))</f>
        <v>6961249173.5410624</v>
      </c>
      <c r="D13" s="226" cm="1">
        <f t="array" ref="D13:W13">D12:W12/wacc_index</f>
        <v>963160405.49102437</v>
      </c>
      <c r="E13" s="31">
        <v>938909520.32173288</v>
      </c>
      <c r="F13" s="31">
        <v>880529119.46526039</v>
      </c>
      <c r="G13" s="31">
        <v>714292641.0756532</v>
      </c>
      <c r="H13" s="31">
        <v>598698498.94339418</v>
      </c>
      <c r="I13" s="31">
        <v>501266937.2323209</v>
      </c>
      <c r="J13" s="31">
        <v>419691285.0219596</v>
      </c>
      <c r="K13" s="31">
        <v>351391168.33821464</v>
      </c>
      <c r="L13" s="31">
        <v>294206140.54360187</v>
      </c>
      <c r="M13" s="31">
        <v>246327343.80577862</v>
      </c>
      <c r="N13" s="31">
        <v>206240291.9065443</v>
      </c>
      <c r="O13" s="31">
        <v>172676964.51610407</v>
      </c>
      <c r="P13" s="31">
        <v>144575697.59456745</v>
      </c>
      <c r="Q13" s="31">
        <v>121047601.18716621</v>
      </c>
      <c r="R13" s="31">
        <v>101348442.35202792</v>
      </c>
      <c r="S13" s="31">
        <v>84855103.830602318</v>
      </c>
      <c r="T13" s="31">
        <v>71045873.809211254</v>
      </c>
      <c r="U13" s="31">
        <v>59483943.303997524</v>
      </c>
      <c r="V13" s="31">
        <v>49803589.164026</v>
      </c>
      <c r="W13" s="31">
        <v>41698605.637874655</v>
      </c>
    </row>
    <row r="16" spans="1:23" x14ac:dyDescent="0.25">
      <c r="D16" s="34" cm="1">
        <f t="array" ref="D16:W16">years</f>
        <v>2018</v>
      </c>
      <c r="E16" s="34">
        <v>2019</v>
      </c>
      <c r="F16" s="34">
        <v>2020</v>
      </c>
      <c r="G16" s="34">
        <v>2021</v>
      </c>
      <c r="H16" s="34">
        <v>2022</v>
      </c>
      <c r="I16" s="34">
        <v>2023</v>
      </c>
      <c r="J16" s="34">
        <v>2024</v>
      </c>
      <c r="K16" s="34">
        <v>2025</v>
      </c>
      <c r="L16" s="34">
        <v>2026</v>
      </c>
      <c r="M16" s="34">
        <v>2027</v>
      </c>
      <c r="N16" s="34">
        <v>2028</v>
      </c>
      <c r="O16" s="34">
        <v>2029</v>
      </c>
      <c r="P16" s="34">
        <v>2030</v>
      </c>
      <c r="Q16" s="34">
        <v>2031</v>
      </c>
      <c r="R16" s="34">
        <v>2032</v>
      </c>
      <c r="S16" s="34">
        <v>2033</v>
      </c>
      <c r="T16" s="34">
        <v>2034</v>
      </c>
      <c r="U16" s="34">
        <v>2035</v>
      </c>
      <c r="V16" s="34">
        <v>2036</v>
      </c>
      <c r="W16" s="34">
        <v>2037</v>
      </c>
    </row>
    <row r="17" spans="1:24" x14ac:dyDescent="0.25">
      <c r="A17" s="17" t="s">
        <v>360</v>
      </c>
      <c r="C17" s="227">
        <f>C9/C13</f>
        <v>1.0462409737175811E-2</v>
      </c>
      <c r="D17" s="165">
        <f t="shared" ref="D17:W17" si="1">C17</f>
        <v>1.0462409737175811E-2</v>
      </c>
      <c r="E17" s="165">
        <f t="shared" si="1"/>
        <v>1.0462409737175811E-2</v>
      </c>
      <c r="F17" s="165">
        <f t="shared" si="1"/>
        <v>1.0462409737175811E-2</v>
      </c>
      <c r="G17" s="165">
        <f t="shared" si="1"/>
        <v>1.0462409737175811E-2</v>
      </c>
      <c r="H17" s="165">
        <f t="shared" si="1"/>
        <v>1.0462409737175811E-2</v>
      </c>
      <c r="I17" s="165">
        <f t="shared" si="1"/>
        <v>1.0462409737175811E-2</v>
      </c>
      <c r="J17" s="165">
        <f t="shared" si="1"/>
        <v>1.0462409737175811E-2</v>
      </c>
      <c r="K17" s="165">
        <f t="shared" si="1"/>
        <v>1.0462409737175811E-2</v>
      </c>
      <c r="L17" s="165">
        <f t="shared" si="1"/>
        <v>1.0462409737175811E-2</v>
      </c>
      <c r="M17" s="165">
        <f t="shared" si="1"/>
        <v>1.0462409737175811E-2</v>
      </c>
      <c r="N17" s="165">
        <f t="shared" si="1"/>
        <v>1.0462409737175811E-2</v>
      </c>
      <c r="O17" s="165">
        <f t="shared" si="1"/>
        <v>1.0462409737175811E-2</v>
      </c>
      <c r="P17" s="165">
        <f t="shared" si="1"/>
        <v>1.0462409737175811E-2</v>
      </c>
      <c r="Q17" s="165">
        <f t="shared" si="1"/>
        <v>1.0462409737175811E-2</v>
      </c>
      <c r="R17" s="165">
        <f t="shared" si="1"/>
        <v>1.0462409737175811E-2</v>
      </c>
      <c r="S17" s="165">
        <f t="shared" si="1"/>
        <v>1.0462409737175811E-2</v>
      </c>
      <c r="T17" s="165">
        <f t="shared" si="1"/>
        <v>1.0462409737175811E-2</v>
      </c>
      <c r="U17" s="165">
        <f t="shared" si="1"/>
        <v>1.0462409737175811E-2</v>
      </c>
      <c r="V17" s="165">
        <f t="shared" si="1"/>
        <v>1.0462409737175811E-2</v>
      </c>
      <c r="W17" s="165">
        <f t="shared" si="1"/>
        <v>1.0462409737175811E-2</v>
      </c>
      <c r="X17" s="20" t="s">
        <v>359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AED4-9633-478F-B228-37EE4591F4C0}">
  <sheetPr>
    <tabColor theme="3" tint="0.79998168889431442"/>
  </sheetPr>
  <dimension ref="B2"/>
  <sheetViews>
    <sheetView workbookViewId="0">
      <selection activeCell="B3" sqref="B3"/>
    </sheetView>
  </sheetViews>
  <sheetFormatPr defaultRowHeight="15" x14ac:dyDescent="0.25"/>
  <cols>
    <col min="1" max="16384" width="9.140625" style="17"/>
  </cols>
  <sheetData>
    <row r="2" spans="2:2" x14ac:dyDescent="0.25">
      <c r="B2" s="17" t="s">
        <v>403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4A99-B73C-4573-80FA-03E7D59B8540}">
  <dimension ref="A1:W12"/>
  <sheetViews>
    <sheetView workbookViewId="0">
      <selection activeCell="C9" sqref="C9"/>
    </sheetView>
  </sheetViews>
  <sheetFormatPr defaultRowHeight="15" x14ac:dyDescent="0.25"/>
  <cols>
    <col min="1" max="1" width="34.5703125" style="17" customWidth="1"/>
    <col min="2" max="2" width="9.140625" style="17"/>
    <col min="3" max="22" width="15.7109375" style="17" customWidth="1"/>
    <col min="23" max="16384" width="9.140625" style="17"/>
  </cols>
  <sheetData>
    <row r="1" spans="1:23" ht="18.75" x14ac:dyDescent="0.3">
      <c r="A1" s="56" t="s">
        <v>361</v>
      </c>
      <c r="B1" s="54"/>
      <c r="C1" s="54"/>
      <c r="D1" s="26"/>
    </row>
    <row r="3" spans="1:23" x14ac:dyDescent="0.25">
      <c r="A3" s="17" t="s">
        <v>379</v>
      </c>
    </row>
    <row r="5" spans="1:23" x14ac:dyDescent="0.25">
      <c r="C5" s="238" cm="1">
        <f t="array" ref="C5:V5">years</f>
        <v>2018</v>
      </c>
      <c r="D5" s="238">
        <v>2019</v>
      </c>
      <c r="E5" s="238">
        <v>2020</v>
      </c>
      <c r="F5" s="238">
        <v>2021</v>
      </c>
      <c r="G5" s="238">
        <v>2022</v>
      </c>
      <c r="H5" s="238">
        <v>2023</v>
      </c>
      <c r="I5" s="238">
        <v>2024</v>
      </c>
      <c r="J5" s="238">
        <v>2025</v>
      </c>
      <c r="K5" s="238">
        <v>2026</v>
      </c>
      <c r="L5" s="238">
        <v>2027</v>
      </c>
      <c r="M5" s="238">
        <v>2028</v>
      </c>
      <c r="N5" s="238">
        <v>2029</v>
      </c>
      <c r="O5" s="238">
        <v>2030</v>
      </c>
      <c r="P5" s="238">
        <v>2031</v>
      </c>
      <c r="Q5" s="238">
        <v>2032</v>
      </c>
      <c r="R5" s="238">
        <v>2033</v>
      </c>
      <c r="S5" s="238">
        <v>2034</v>
      </c>
      <c r="T5" s="238">
        <v>2035</v>
      </c>
      <c r="U5" s="238">
        <v>2036</v>
      </c>
      <c r="V5" s="238">
        <v>2037</v>
      </c>
    </row>
    <row r="6" spans="1:23" x14ac:dyDescent="0.25">
      <c r="A6" s="240" t="str">
        <f>'4 Cost - capital'!$A$31</f>
        <v xml:space="preserve">Core network </v>
      </c>
      <c r="B6" s="2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3" x14ac:dyDescent="0.25">
      <c r="A7" s="22" t="s">
        <v>162</v>
      </c>
      <c r="B7" s="21">
        <f>'3 Network demand'!$C$38</f>
        <v>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3" x14ac:dyDescent="0.25">
      <c r="A8" s="22" t="s">
        <v>380</v>
      </c>
      <c r="B8" s="21"/>
      <c r="C8" s="239"/>
      <c r="D8" s="21">
        <f>C12</f>
        <v>175087887.36166841</v>
      </c>
      <c r="E8" s="21">
        <f t="shared" ref="E8:V8" si="0">D12</f>
        <v>153854885.62815997</v>
      </c>
      <c r="F8" s="21">
        <f t="shared" si="0"/>
        <v>137386928.90034515</v>
      </c>
      <c r="G8" s="21">
        <f t="shared" si="0"/>
        <v>120213562.78780201</v>
      </c>
      <c r="H8" s="21">
        <f t="shared" si="0"/>
        <v>105186867.43932676</v>
      </c>
      <c r="I8" s="21">
        <f t="shared" si="0"/>
        <v>92616591.21494022</v>
      </c>
      <c r="J8" s="21">
        <f t="shared" si="0"/>
        <v>81039517.313072696</v>
      </c>
      <c r="K8" s="21">
        <f t="shared" si="0"/>
        <v>71008471.748426333</v>
      </c>
      <c r="L8" s="21">
        <f t="shared" si="0"/>
        <v>201466781.90062416</v>
      </c>
      <c r="M8" s="21">
        <f t="shared" si="0"/>
        <v>188891635.75023094</v>
      </c>
      <c r="N8" s="21">
        <f t="shared" si="0"/>
        <v>182880486.30149639</v>
      </c>
      <c r="O8" s="21">
        <f t="shared" si="0"/>
        <v>175297941.5610801</v>
      </c>
      <c r="P8" s="21">
        <f t="shared" si="0"/>
        <v>167822732.6550279</v>
      </c>
      <c r="Q8" s="21">
        <f t="shared" si="0"/>
        <v>161384257.95467836</v>
      </c>
      <c r="R8" s="21">
        <f t="shared" si="0"/>
        <v>155154602.11375433</v>
      </c>
      <c r="S8" s="21">
        <f t="shared" si="0"/>
        <v>149091582.97644079</v>
      </c>
      <c r="T8" s="21">
        <f t="shared" si="0"/>
        <v>239845477.5590857</v>
      </c>
      <c r="U8" s="21">
        <f t="shared" si="0"/>
        <v>222991633.95876399</v>
      </c>
      <c r="V8" s="21">
        <f t="shared" si="0"/>
        <v>208982540.98557687</v>
      </c>
    </row>
    <row r="9" spans="1:23" x14ac:dyDescent="0.25">
      <c r="A9" s="22" t="s">
        <v>381</v>
      </c>
      <c r="B9" s="21"/>
      <c r="C9" s="239" cm="1">
        <f t="array" ref="C9:V9">core_costs</f>
        <v>200100442.69904959</v>
      </c>
      <c r="D9" s="21">
        <v>746267.64194297837</v>
      </c>
      <c r="E9" s="21">
        <v>3158747.4008059143</v>
      </c>
      <c r="F9" s="21">
        <v>0</v>
      </c>
      <c r="G9" s="21">
        <v>0</v>
      </c>
      <c r="H9" s="21">
        <v>660665.37774777319</v>
      </c>
      <c r="I9" s="21">
        <v>0</v>
      </c>
      <c r="J9" s="21">
        <v>113021.82798597805</v>
      </c>
      <c r="K9" s="21">
        <v>159239278.9951441</v>
      </c>
      <c r="L9" s="21">
        <v>14409373.242496906</v>
      </c>
      <c r="M9" s="21">
        <v>20114634.308622062</v>
      </c>
      <c r="N9" s="21">
        <v>17460018.339738019</v>
      </c>
      <c r="O9" s="21">
        <v>16499467.187523205</v>
      </c>
      <c r="P9" s="21">
        <v>16616419.293175943</v>
      </c>
      <c r="Q9" s="21">
        <v>15935287.318183716</v>
      </c>
      <c r="R9" s="21">
        <v>15235778.430749407</v>
      </c>
      <c r="S9" s="21">
        <v>125017534.2339429</v>
      </c>
      <c r="T9" s="21">
        <v>15002104.108073147</v>
      </c>
      <c r="U9" s="21">
        <v>15845555.739038145</v>
      </c>
      <c r="V9" s="21">
        <v>13684173.429430062</v>
      </c>
    </row>
    <row r="10" spans="1:23" x14ac:dyDescent="0.25">
      <c r="A10" s="22" t="s">
        <v>382</v>
      </c>
      <c r="B10" s="21"/>
      <c r="C10" s="239">
        <f>C9</f>
        <v>200100442.69904959</v>
      </c>
      <c r="D10" s="21">
        <f>D9+D8</f>
        <v>175834155.00361139</v>
      </c>
      <c r="E10" s="21">
        <f t="shared" ref="E10:V10" si="1">E9+E8</f>
        <v>157013633.02896589</v>
      </c>
      <c r="F10" s="21">
        <f t="shared" si="1"/>
        <v>137386928.90034515</v>
      </c>
      <c r="G10" s="21">
        <f t="shared" si="1"/>
        <v>120213562.78780201</v>
      </c>
      <c r="H10" s="21">
        <f t="shared" si="1"/>
        <v>105847532.81707454</v>
      </c>
      <c r="I10" s="21">
        <f t="shared" si="1"/>
        <v>92616591.21494022</v>
      </c>
      <c r="J10" s="21">
        <f t="shared" si="1"/>
        <v>81152539.141058668</v>
      </c>
      <c r="K10" s="21">
        <f t="shared" si="1"/>
        <v>230247750.74357045</v>
      </c>
      <c r="L10" s="21">
        <f t="shared" si="1"/>
        <v>215876155.14312106</v>
      </c>
      <c r="M10" s="21">
        <f t="shared" si="1"/>
        <v>209006270.058853</v>
      </c>
      <c r="N10" s="21">
        <f t="shared" si="1"/>
        <v>200340504.6412344</v>
      </c>
      <c r="O10" s="21">
        <f t="shared" si="1"/>
        <v>191797408.74860331</v>
      </c>
      <c r="P10" s="21">
        <f t="shared" si="1"/>
        <v>184439151.94820383</v>
      </c>
      <c r="Q10" s="21">
        <f t="shared" si="1"/>
        <v>177319545.27286208</v>
      </c>
      <c r="R10" s="21">
        <f t="shared" si="1"/>
        <v>170390380.54450375</v>
      </c>
      <c r="S10" s="21">
        <f t="shared" si="1"/>
        <v>274109117.21038365</v>
      </c>
      <c r="T10" s="21">
        <f t="shared" si="1"/>
        <v>254847581.66715884</v>
      </c>
      <c r="U10" s="21">
        <f t="shared" si="1"/>
        <v>238837189.69780213</v>
      </c>
      <c r="V10" s="21">
        <f t="shared" si="1"/>
        <v>222666714.41500694</v>
      </c>
    </row>
    <row r="11" spans="1:23" x14ac:dyDescent="0.25">
      <c r="A11" s="22" t="s">
        <v>383</v>
      </c>
      <c r="B11" s="21"/>
      <c r="C11" s="239">
        <f>C9/B7</f>
        <v>25012555.337381199</v>
      </c>
      <c r="D11" s="21">
        <f t="shared" ref="D11:V11" si="2">D10/$B$7</f>
        <v>21979269.375451423</v>
      </c>
      <c r="E11" s="21">
        <f t="shared" si="2"/>
        <v>19626704.128620736</v>
      </c>
      <c r="F11" s="21">
        <f t="shared" si="2"/>
        <v>17173366.112543143</v>
      </c>
      <c r="G11" s="21">
        <f t="shared" si="2"/>
        <v>15026695.348475251</v>
      </c>
      <c r="H11" s="21">
        <f t="shared" si="2"/>
        <v>13230941.602134317</v>
      </c>
      <c r="I11" s="21">
        <f t="shared" si="2"/>
        <v>11577073.901867528</v>
      </c>
      <c r="J11" s="21">
        <f t="shared" si="2"/>
        <v>10144067.392632334</v>
      </c>
      <c r="K11" s="21">
        <f t="shared" si="2"/>
        <v>28780968.842946306</v>
      </c>
      <c r="L11" s="21">
        <f t="shared" si="2"/>
        <v>26984519.392890133</v>
      </c>
      <c r="M11" s="21">
        <f t="shared" si="2"/>
        <v>26125783.757356625</v>
      </c>
      <c r="N11" s="21">
        <f t="shared" si="2"/>
        <v>25042563.0801543</v>
      </c>
      <c r="O11" s="21">
        <f t="shared" si="2"/>
        <v>23974676.093575414</v>
      </c>
      <c r="P11" s="21">
        <f t="shared" si="2"/>
        <v>23054893.993525479</v>
      </c>
      <c r="Q11" s="21">
        <f t="shared" si="2"/>
        <v>22164943.15910776</v>
      </c>
      <c r="R11" s="21">
        <f t="shared" si="2"/>
        <v>21298797.568062969</v>
      </c>
      <c r="S11" s="21">
        <f t="shared" si="2"/>
        <v>34263639.651297957</v>
      </c>
      <c r="T11" s="21">
        <f t="shared" si="2"/>
        <v>31855947.708394855</v>
      </c>
      <c r="U11" s="21">
        <f t="shared" si="2"/>
        <v>29854648.712225266</v>
      </c>
      <c r="V11" s="21">
        <f t="shared" si="2"/>
        <v>27833339.301875867</v>
      </c>
      <c r="W11" s="20" t="s">
        <v>385</v>
      </c>
    </row>
    <row r="12" spans="1:23" x14ac:dyDescent="0.25">
      <c r="A12" s="22" t="s">
        <v>384</v>
      </c>
      <c r="B12" s="21"/>
      <c r="C12" s="239">
        <f>C9-C11</f>
        <v>175087887.36166841</v>
      </c>
      <c r="D12" s="21">
        <f>D10-D11</f>
        <v>153854885.62815997</v>
      </c>
      <c r="E12" s="21">
        <f t="shared" ref="E12:V12" si="3">E10-E11</f>
        <v>137386928.90034515</v>
      </c>
      <c r="F12" s="21">
        <f t="shared" si="3"/>
        <v>120213562.78780201</v>
      </c>
      <c r="G12" s="21">
        <f t="shared" si="3"/>
        <v>105186867.43932676</v>
      </c>
      <c r="H12" s="21">
        <f t="shared" si="3"/>
        <v>92616591.21494022</v>
      </c>
      <c r="I12" s="21">
        <f t="shared" si="3"/>
        <v>81039517.313072696</v>
      </c>
      <c r="J12" s="21">
        <f t="shared" si="3"/>
        <v>71008471.748426333</v>
      </c>
      <c r="K12" s="21">
        <f t="shared" si="3"/>
        <v>201466781.90062416</v>
      </c>
      <c r="L12" s="21">
        <f t="shared" si="3"/>
        <v>188891635.75023094</v>
      </c>
      <c r="M12" s="21">
        <f t="shared" si="3"/>
        <v>182880486.30149639</v>
      </c>
      <c r="N12" s="21">
        <f t="shared" si="3"/>
        <v>175297941.5610801</v>
      </c>
      <c r="O12" s="21">
        <f t="shared" si="3"/>
        <v>167822732.6550279</v>
      </c>
      <c r="P12" s="21">
        <f t="shared" si="3"/>
        <v>161384257.95467836</v>
      </c>
      <c r="Q12" s="21">
        <f t="shared" si="3"/>
        <v>155154602.11375433</v>
      </c>
      <c r="R12" s="21">
        <f t="shared" si="3"/>
        <v>149091582.97644079</v>
      </c>
      <c r="S12" s="21">
        <f t="shared" si="3"/>
        <v>239845477.5590857</v>
      </c>
      <c r="T12" s="21">
        <f t="shared" si="3"/>
        <v>222991633.95876399</v>
      </c>
      <c r="U12" s="21">
        <f t="shared" si="3"/>
        <v>208982540.98557687</v>
      </c>
      <c r="V12" s="21">
        <f t="shared" si="3"/>
        <v>194833375.11313108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814B-14E5-44E7-9E0D-AF8C592BA163}">
  <dimension ref="A1:V30"/>
  <sheetViews>
    <sheetView zoomScale="90" zoomScaleNormal="90" workbookViewId="0">
      <selection activeCell="C28" sqref="C28"/>
    </sheetView>
  </sheetViews>
  <sheetFormatPr defaultColWidth="16.5703125" defaultRowHeight="15" x14ac:dyDescent="0.25"/>
  <cols>
    <col min="1" max="1" width="52.85546875" style="17" customWidth="1"/>
    <col min="2" max="21" width="18.140625" style="17" bestFit="1" customWidth="1"/>
    <col min="22" max="16384" width="16.5703125" style="17"/>
  </cols>
  <sheetData>
    <row r="1" spans="1:22" ht="18.75" x14ac:dyDescent="0.3">
      <c r="A1" s="56" t="s">
        <v>362</v>
      </c>
      <c r="B1" s="54"/>
      <c r="C1" s="54"/>
      <c r="D1" s="26"/>
    </row>
    <row r="3" spans="1:22" x14ac:dyDescent="0.25">
      <c r="A3" s="17" t="s">
        <v>363</v>
      </c>
    </row>
    <row r="5" spans="1:22" x14ac:dyDescent="0.25">
      <c r="A5"/>
      <c r="B5" s="58" cm="1">
        <f t="array" ref="B5:U5">years</f>
        <v>2018</v>
      </c>
      <c r="C5" s="58">
        <v>2019</v>
      </c>
      <c r="D5" s="58">
        <v>2020</v>
      </c>
      <c r="E5" s="58">
        <v>2021</v>
      </c>
      <c r="F5" s="58">
        <v>2022</v>
      </c>
      <c r="G5" s="58">
        <v>2023</v>
      </c>
      <c r="H5" s="58">
        <v>2024</v>
      </c>
      <c r="I5" s="58">
        <v>2025</v>
      </c>
      <c r="J5" s="58">
        <v>2026</v>
      </c>
      <c r="K5" s="58">
        <v>2027</v>
      </c>
      <c r="L5" s="58">
        <v>2028</v>
      </c>
      <c r="M5" s="58">
        <v>2029</v>
      </c>
      <c r="N5" s="58">
        <v>2030</v>
      </c>
      <c r="O5" s="58">
        <v>2031</v>
      </c>
      <c r="P5" s="58">
        <v>2032</v>
      </c>
      <c r="Q5" s="58">
        <v>2033</v>
      </c>
      <c r="R5" s="58">
        <v>2034</v>
      </c>
      <c r="S5" s="58">
        <v>2035</v>
      </c>
      <c r="T5" s="58">
        <v>2036</v>
      </c>
      <c r="U5" s="58">
        <v>2037</v>
      </c>
    </row>
    <row r="6" spans="1:22" x14ac:dyDescent="0.25">
      <c r="A6" s="22" t="s">
        <v>364</v>
      </c>
      <c r="B6" s="21" cm="1">
        <f t="array" ref="B6:U6">fixed_minutes_incoming*pure_lric</f>
        <v>11928623.660266632</v>
      </c>
      <c r="C6" s="21">
        <v>13663228.315607861</v>
      </c>
      <c r="D6" s="21">
        <v>15141478.717980815</v>
      </c>
      <c r="E6" s="21">
        <v>14602144.551053045</v>
      </c>
      <c r="F6" s="21">
        <v>14675155.27380831</v>
      </c>
      <c r="G6" s="21">
        <v>14748531.050177353</v>
      </c>
      <c r="H6" s="21">
        <v>14822273.705428237</v>
      </c>
      <c r="I6" s="21">
        <v>14896385.073955374</v>
      </c>
      <c r="J6" s="21">
        <v>14970866.999325149</v>
      </c>
      <c r="K6" s="21">
        <v>15045721.334321776</v>
      </c>
      <c r="L6" s="21">
        <v>15120949.940993382</v>
      </c>
      <c r="M6" s="21">
        <v>15196554.690698348</v>
      </c>
      <c r="N6" s="21">
        <v>15272537.464151837</v>
      </c>
      <c r="O6" s="21">
        <v>15348900.151472595</v>
      </c>
      <c r="P6" s="21">
        <v>15425644.652229954</v>
      </c>
      <c r="Q6" s="21">
        <v>15502772.875491105</v>
      </c>
      <c r="R6" s="21">
        <v>15580286.739868555</v>
      </c>
      <c r="S6" s="21">
        <v>15658188.173567895</v>
      </c>
      <c r="T6" s="21">
        <v>15736479.114435736</v>
      </c>
      <c r="U6" s="21">
        <v>15815161.510007912</v>
      </c>
      <c r="V6" s="20" t="s">
        <v>367</v>
      </c>
    </row>
    <row r="7" spans="1:22" x14ac:dyDescent="0.25">
      <c r="A7" s="22" t="s">
        <v>365</v>
      </c>
      <c r="B7" s="21" cm="1">
        <f t="array" ref="B7:U7">lric_revenues/wacc_index</f>
        <v>10076978.804871496</v>
      </c>
      <c r="C7" s="21">
        <v>9823256.1077411678</v>
      </c>
      <c r="D7" s="21">
        <v>9212456.4333601836</v>
      </c>
      <c r="E7" s="21">
        <v>7473222.2831829395</v>
      </c>
      <c r="F7" s="21">
        <v>6263829.0049779089</v>
      </c>
      <c r="G7" s="21">
        <v>5244460.0850237301</v>
      </c>
      <c r="H7" s="21">
        <v>4390982.1870215787</v>
      </c>
      <c r="I7" s="21">
        <v>3676398.3811793216</v>
      </c>
      <c r="J7" s="21">
        <v>3078105.1895602951</v>
      </c>
      <c r="K7" s="21">
        <v>2577177.600366232</v>
      </c>
      <c r="L7" s="21">
        <v>2157770.4382410105</v>
      </c>
      <c r="M7" s="21">
        <v>1806617.1549392492</v>
      </c>
      <c r="N7" s="21">
        <v>1512610.1862723879</v>
      </c>
      <c r="O7" s="21">
        <v>1266449.601322382</v>
      </c>
      <c r="P7" s="21">
        <v>1060348.9301114583</v>
      </c>
      <c r="Q7" s="21">
        <v>887788.86456635816</v>
      </c>
      <c r="R7" s="21">
        <v>743311.04192765581</v>
      </c>
      <c r="S7" s="21">
        <v>622345.38762935752</v>
      </c>
      <c r="T7" s="21">
        <v>521065.55621600931</v>
      </c>
      <c r="U7" s="21">
        <v>436267.89765235392</v>
      </c>
      <c r="V7" s="20"/>
    </row>
    <row r="8" spans="1:22" x14ac:dyDescent="0.25">
      <c r="A8" s="22" t="s">
        <v>366</v>
      </c>
      <c r="B8" s="21">
        <f>SUM(_xlfn.ANCHORARRAY(B7))</f>
        <v>72831441.136163086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0"/>
    </row>
    <row r="9" spans="1:22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0"/>
    </row>
    <row r="10" spans="1:22" x14ac:dyDescent="0.25">
      <c r="A10"/>
      <c r="B10" s="58" cm="1">
        <f t="array" ref="B10:U10">years</f>
        <v>2018</v>
      </c>
      <c r="C10" s="58">
        <v>2019</v>
      </c>
      <c r="D10" s="58">
        <v>2020</v>
      </c>
      <c r="E10" s="58">
        <v>2021</v>
      </c>
      <c r="F10" s="58">
        <v>2022</v>
      </c>
      <c r="G10" s="58">
        <v>2023</v>
      </c>
      <c r="H10" s="58">
        <v>2024</v>
      </c>
      <c r="I10" s="58">
        <v>2025</v>
      </c>
      <c r="J10" s="58">
        <v>2026</v>
      </c>
      <c r="K10" s="58">
        <v>2027</v>
      </c>
      <c r="L10" s="58">
        <v>2028</v>
      </c>
      <c r="M10" s="58">
        <v>2029</v>
      </c>
      <c r="N10" s="58">
        <v>2030</v>
      </c>
      <c r="O10" s="58">
        <v>2031</v>
      </c>
      <c r="P10" s="58">
        <v>2032</v>
      </c>
      <c r="Q10" s="58">
        <v>2033</v>
      </c>
      <c r="R10" s="58">
        <v>2034</v>
      </c>
      <c r="S10" s="58">
        <v>2035</v>
      </c>
      <c r="T10" s="58">
        <v>2036</v>
      </c>
      <c r="U10" s="58">
        <v>2037</v>
      </c>
    </row>
    <row r="11" spans="1:22" x14ac:dyDescent="0.25">
      <c r="A11" s="22" t="s">
        <v>368</v>
      </c>
      <c r="B11" s="21" t="e" cm="1">
        <f t="array" ref="B11">fixed_allminutes*lraic</f>
        <v>#REF!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41" t="s">
        <v>374</v>
      </c>
    </row>
    <row r="12" spans="1:22" x14ac:dyDescent="0.25">
      <c r="A12" s="22" t="s">
        <v>369</v>
      </c>
      <c r="B12" s="21" t="e" cm="1">
        <f t="array" ref="B12:U12">lraic_revenues/wacc_index</f>
        <v>#REF!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</row>
    <row r="13" spans="1:22" x14ac:dyDescent="0.25">
      <c r="A13" s="22" t="s">
        <v>370</v>
      </c>
      <c r="B13" s="21" t="e">
        <f>SUM(_xlfn.ANCHORARRAY(B12))</f>
        <v>#REF!</v>
      </c>
    </row>
    <row r="15" spans="1:22" x14ac:dyDescent="0.25">
      <c r="A15"/>
      <c r="B15" s="58" cm="1">
        <f t="array" ref="B15:U15">years</f>
        <v>2018</v>
      </c>
      <c r="C15" s="58">
        <v>2019</v>
      </c>
      <c r="D15" s="58">
        <v>2020</v>
      </c>
      <c r="E15" s="58">
        <v>2021</v>
      </c>
      <c r="F15" s="58">
        <v>2022</v>
      </c>
      <c r="G15" s="58">
        <v>2023</v>
      </c>
      <c r="H15" s="58">
        <v>2024</v>
      </c>
      <c r="I15" s="58">
        <v>2025</v>
      </c>
      <c r="J15" s="58">
        <v>2026</v>
      </c>
      <c r="K15" s="58">
        <v>2027</v>
      </c>
      <c r="L15" s="58">
        <v>2028</v>
      </c>
      <c r="M15" s="58">
        <v>2029</v>
      </c>
      <c r="N15" s="58">
        <v>2030</v>
      </c>
      <c r="O15" s="58">
        <v>2031</v>
      </c>
      <c r="P15" s="58">
        <v>2032</v>
      </c>
      <c r="Q15" s="58">
        <v>2033</v>
      </c>
      <c r="R15" s="58">
        <v>2034</v>
      </c>
      <c r="S15" s="58">
        <v>2035</v>
      </c>
      <c r="T15" s="58">
        <v>2036</v>
      </c>
      <c r="U15" s="58">
        <v>2037</v>
      </c>
    </row>
    <row r="16" spans="1:22" x14ac:dyDescent="0.25">
      <c r="A16" s="22" t="s">
        <v>371</v>
      </c>
      <c r="B16" s="21" t="e" cm="1">
        <f t="array" ref="B16">fixed_allminutes*lraic_plus</f>
        <v>#REF!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41" t="s">
        <v>375</v>
      </c>
    </row>
    <row r="17" spans="1:21" x14ac:dyDescent="0.25">
      <c r="A17" s="22" t="s">
        <v>372</v>
      </c>
      <c r="B17" s="21" t="e" cm="1">
        <f t="array" ref="B17:U17">lraic_plus_revenues/wacc_index</f>
        <v>#REF!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</row>
    <row r="18" spans="1:21" x14ac:dyDescent="0.25">
      <c r="A18" s="22" t="s">
        <v>373</v>
      </c>
      <c r="B18" s="21" t="e">
        <f>SUM(_xlfn.ANCHORARRAY(B17))</f>
        <v>#REF!</v>
      </c>
    </row>
    <row r="20" spans="1:21" x14ac:dyDescent="0.25">
      <c r="A20" s="54" t="s">
        <v>376</v>
      </c>
      <c r="B20" s="54"/>
      <c r="C20" s="54"/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</row>
    <row r="23" spans="1:21" x14ac:dyDescent="0.25">
      <c r="B23" s="58" cm="1">
        <f t="array" ref="B23:U23">years</f>
        <v>2018</v>
      </c>
      <c r="C23" s="58">
        <v>2019</v>
      </c>
      <c r="D23" s="58">
        <v>2020</v>
      </c>
      <c r="E23" s="58">
        <v>2021</v>
      </c>
      <c r="F23" s="58">
        <v>2022</v>
      </c>
      <c r="G23" s="58">
        <v>2023</v>
      </c>
      <c r="H23" s="58">
        <v>2024</v>
      </c>
      <c r="I23" s="58">
        <v>2025</v>
      </c>
      <c r="J23" s="58">
        <v>2026</v>
      </c>
      <c r="K23" s="58">
        <v>2027</v>
      </c>
      <c r="L23" s="58">
        <v>2028</v>
      </c>
      <c r="M23" s="58">
        <v>2029</v>
      </c>
      <c r="N23" s="58">
        <v>2030</v>
      </c>
      <c r="O23" s="58">
        <v>2031</v>
      </c>
      <c r="P23" s="58">
        <v>2032</v>
      </c>
      <c r="Q23" s="58">
        <v>2033</v>
      </c>
      <c r="R23" s="58">
        <v>2034</v>
      </c>
      <c r="S23" s="58">
        <v>2035</v>
      </c>
      <c r="T23" s="58">
        <v>2036</v>
      </c>
      <c r="U23" s="58">
        <v>2037</v>
      </c>
    </row>
    <row r="24" spans="1:21" x14ac:dyDescent="0.25">
      <c r="A24" s="22" t="str">
        <f>'5 Cost - opex'!$A$4</f>
        <v>Core network opex</v>
      </c>
      <c r="B24" s="21" cm="1">
        <f t="array" ref="B24:U24">core_total_costs</f>
        <v>14007030.988933472</v>
      </c>
      <c r="C24" s="21">
        <v>13639058.794201476</v>
      </c>
      <c r="D24" s="21">
        <v>13450999.348431846</v>
      </c>
      <c r="E24" s="21">
        <v>12949166.516576309</v>
      </c>
      <c r="F24" s="21">
        <v>12560691.521079019</v>
      </c>
      <c r="G24" s="21">
        <v>12230117.351888994</v>
      </c>
      <c r="H24" s="21">
        <v>11863213.831332322</v>
      </c>
      <c r="I24" s="21">
        <v>11515228.944351375</v>
      </c>
      <c r="J24" s="21">
        <v>11204305.895561947</v>
      </c>
      <c r="K24" s="21">
        <v>10868176.718695085</v>
      </c>
      <c r="L24" s="21">
        <v>10549352.055091174</v>
      </c>
      <c r="M24" s="21">
        <v>10264389.578120489</v>
      </c>
      <c r="N24" s="21">
        <v>9956457.8907768708</v>
      </c>
      <c r="O24" s="21">
        <v>9664354.2353596427</v>
      </c>
      <c r="P24" s="21">
        <v>9403189.3131998722</v>
      </c>
      <c r="Q24" s="21">
        <v>9127294.2413047608</v>
      </c>
      <c r="R24" s="21">
        <v>8853475.4140656218</v>
      </c>
      <c r="S24" s="21">
        <v>8614124.8338327799</v>
      </c>
      <c r="T24" s="21">
        <v>8361360.2158674523</v>
      </c>
      <c r="U24" s="21">
        <v>8110519.4093914302</v>
      </c>
    </row>
    <row r="25" spans="1:21" x14ac:dyDescent="0.25">
      <c r="A25" s="22" t="s">
        <v>377</v>
      </c>
      <c r="B25" s="21" cm="1">
        <f t="array" ref="B25:U25">Depreciation_straightline</f>
        <v>25012555.337381199</v>
      </c>
      <c r="C25" s="21">
        <v>21979269.375451423</v>
      </c>
      <c r="D25" s="21">
        <v>19626704.128620736</v>
      </c>
      <c r="E25" s="21">
        <v>17173366.112543143</v>
      </c>
      <c r="F25" s="21">
        <v>15026695.348475251</v>
      </c>
      <c r="G25" s="21">
        <v>13230941.602134317</v>
      </c>
      <c r="H25" s="21">
        <v>11577073.901867528</v>
      </c>
      <c r="I25" s="21">
        <v>10144067.392632334</v>
      </c>
      <c r="J25" s="21">
        <v>28780968.842946306</v>
      </c>
      <c r="K25" s="21">
        <v>26984519.392890133</v>
      </c>
      <c r="L25" s="21">
        <v>26125783.757356625</v>
      </c>
      <c r="M25" s="21">
        <v>25042563.0801543</v>
      </c>
      <c r="N25" s="21">
        <v>23974676.093575414</v>
      </c>
      <c r="O25" s="21">
        <v>23054893.993525479</v>
      </c>
      <c r="P25" s="21">
        <v>22164943.15910776</v>
      </c>
      <c r="Q25" s="21">
        <v>21298797.568062969</v>
      </c>
      <c r="R25" s="21">
        <v>34263639.651297957</v>
      </c>
      <c r="S25" s="21">
        <v>31855947.708394855</v>
      </c>
      <c r="T25" s="21">
        <v>29854648.712225266</v>
      </c>
      <c r="U25" s="21">
        <v>27833339.301875867</v>
      </c>
    </row>
    <row r="26" spans="1:21" x14ac:dyDescent="0.25">
      <c r="A26" s="22" t="s">
        <v>378</v>
      </c>
      <c r="B26" s="21">
        <f>B24+B25</f>
        <v>39019586.326314673</v>
      </c>
      <c r="C26" s="21">
        <f t="shared" ref="C26:U26" si="0">C24+C25</f>
        <v>35618328.169652902</v>
      </c>
      <c r="D26" s="21">
        <f t="shared" si="0"/>
        <v>33077703.477052584</v>
      </c>
      <c r="E26" s="21">
        <f t="shared" si="0"/>
        <v>30122532.629119452</v>
      </c>
      <c r="F26" s="21">
        <f t="shared" si="0"/>
        <v>27587386.86955427</v>
      </c>
      <c r="G26" s="21">
        <f t="shared" si="0"/>
        <v>25461058.954023309</v>
      </c>
      <c r="H26" s="21">
        <f t="shared" si="0"/>
        <v>23440287.73319985</v>
      </c>
      <c r="I26" s="21">
        <f t="shared" si="0"/>
        <v>21659296.336983711</v>
      </c>
      <c r="J26" s="21">
        <f t="shared" si="0"/>
        <v>39985274.738508254</v>
      </c>
      <c r="K26" s="21">
        <f t="shared" si="0"/>
        <v>37852696.111585215</v>
      </c>
      <c r="L26" s="21">
        <f t="shared" si="0"/>
        <v>36675135.812447801</v>
      </c>
      <c r="M26" s="21">
        <f t="shared" si="0"/>
        <v>35306952.658274785</v>
      </c>
      <c r="N26" s="21">
        <f t="shared" si="0"/>
        <v>33931133.984352283</v>
      </c>
      <c r="O26" s="21">
        <f t="shared" si="0"/>
        <v>32719248.228885122</v>
      </c>
      <c r="P26" s="21">
        <f t="shared" si="0"/>
        <v>31568132.47230763</v>
      </c>
      <c r="Q26" s="21">
        <f t="shared" si="0"/>
        <v>30426091.809367731</v>
      </c>
      <c r="R26" s="21">
        <f t="shared" si="0"/>
        <v>43117115.065363578</v>
      </c>
      <c r="S26" s="21">
        <f t="shared" si="0"/>
        <v>40470072.542227633</v>
      </c>
      <c r="T26" s="21">
        <f t="shared" si="0"/>
        <v>38216008.928092718</v>
      </c>
      <c r="U26" s="21">
        <f t="shared" si="0"/>
        <v>35943858.7112673</v>
      </c>
    </row>
    <row r="27" spans="1:21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x14ac:dyDescent="0.2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63B0-E577-4947-BC13-798152C56848}">
  <sheetPr>
    <tabColor theme="3" tint="0.79998168889431442"/>
  </sheetPr>
  <dimension ref="B2:K23"/>
  <sheetViews>
    <sheetView workbookViewId="0">
      <selection activeCell="P30" sqref="P30"/>
    </sheetView>
  </sheetViews>
  <sheetFormatPr defaultColWidth="8.5703125" defaultRowHeight="15" x14ac:dyDescent="0.25"/>
  <cols>
    <col min="1" max="16384" width="8.5703125" style="17"/>
  </cols>
  <sheetData>
    <row r="2" spans="2:2" x14ac:dyDescent="0.25">
      <c r="B2" s="17" t="s">
        <v>202</v>
      </c>
    </row>
    <row r="23" spans="11:11" x14ac:dyDescent="0.25">
      <c r="K23" s="2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CEBA7-9990-4B9E-98CC-FDB471927638}">
  <dimension ref="A1:U57"/>
  <sheetViews>
    <sheetView topLeftCell="A20" zoomScale="93" zoomScaleNormal="93" workbookViewId="0">
      <selection activeCell="D29" sqref="D29"/>
    </sheetView>
  </sheetViews>
  <sheetFormatPr defaultColWidth="8.7109375" defaultRowHeight="15" x14ac:dyDescent="0.25"/>
  <cols>
    <col min="1" max="1" width="31.42578125" style="17" customWidth="1"/>
    <col min="2" max="21" width="15.7109375" style="17" customWidth="1"/>
    <col min="22" max="16384" width="8.7109375" style="17"/>
  </cols>
  <sheetData>
    <row r="1" spans="1:21" ht="17.25" x14ac:dyDescent="0.3">
      <c r="A1" s="172" t="s">
        <v>203</v>
      </c>
      <c r="B1" s="55"/>
      <c r="C1" s="55"/>
    </row>
    <row r="3" spans="1:21" x14ac:dyDescent="0.25">
      <c r="A3" s="26" t="s">
        <v>204</v>
      </c>
    </row>
    <row r="4" spans="1:21" x14ac:dyDescent="0.25">
      <c r="A4" s="22" t="str" cm="1">
        <f t="array" ref="A4:A6">growth_scenarios</f>
        <v>Low growth scenario</v>
      </c>
      <c r="B4" s="140">
        <v>-5.0000000000000001E-3</v>
      </c>
    </row>
    <row r="5" spans="1:21" x14ac:dyDescent="0.25">
      <c r="A5" s="22" t="str">
        <v>Medium growth scenario</v>
      </c>
      <c r="B5" s="140">
        <v>0</v>
      </c>
    </row>
    <row r="6" spans="1:21" x14ac:dyDescent="0.25">
      <c r="A6" s="22" t="str">
        <v>High growth scenario</v>
      </c>
      <c r="B6" s="140">
        <v>5.0000000000000001E-3</v>
      </c>
    </row>
    <row r="7" spans="1:21" x14ac:dyDescent="0.25">
      <c r="B7" s="29"/>
    </row>
    <row r="8" spans="1:21" x14ac:dyDescent="0.25">
      <c r="A8" s="22" t="s">
        <v>205</v>
      </c>
      <c r="B8" s="140">
        <v>0.6</v>
      </c>
    </row>
    <row r="10" spans="1:21" x14ac:dyDescent="0.25">
      <c r="A10" s="54" t="s">
        <v>206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pans="1:21" x14ac:dyDescent="0.25">
      <c r="A11" s="26"/>
    </row>
    <row r="12" spans="1:21" x14ac:dyDescent="0.25">
      <c r="A12" s="236"/>
      <c r="B12" s="58" cm="1">
        <f t="array" ref="B12:U12">years</f>
        <v>2018</v>
      </c>
      <c r="C12" s="58">
        <v>2019</v>
      </c>
      <c r="D12" s="58">
        <v>2020</v>
      </c>
      <c r="E12" s="58">
        <v>2021</v>
      </c>
      <c r="F12" s="58">
        <v>2022</v>
      </c>
      <c r="G12" s="58">
        <v>2023</v>
      </c>
      <c r="H12" s="58">
        <v>2024</v>
      </c>
      <c r="I12" s="58">
        <v>2025</v>
      </c>
      <c r="J12" s="58">
        <v>2026</v>
      </c>
      <c r="K12" s="58">
        <v>2027</v>
      </c>
      <c r="L12" s="58">
        <v>2028</v>
      </c>
      <c r="M12" s="58">
        <v>2029</v>
      </c>
      <c r="N12" s="58">
        <v>2030</v>
      </c>
      <c r="O12" s="58">
        <v>2031</v>
      </c>
      <c r="P12" s="58">
        <v>2032</v>
      </c>
      <c r="Q12" s="58">
        <v>2033</v>
      </c>
      <c r="R12" s="58">
        <v>2034</v>
      </c>
      <c r="S12" s="58">
        <v>2035</v>
      </c>
      <c r="T12" s="58">
        <v>2036</v>
      </c>
      <c r="U12" s="58">
        <v>2037</v>
      </c>
    </row>
    <row r="13" spans="1:21" x14ac:dyDescent="0.25">
      <c r="A13" s="22" t="str" cm="1">
        <f t="array" ref="A13:A15">growth_scenarios</f>
        <v>Low growth scenario</v>
      </c>
      <c r="B13" s="5">
        <f>ITU!D$6*$B$8</f>
        <v>4255420800</v>
      </c>
      <c r="C13" s="5">
        <f>ITU!E$6*$B$8</f>
        <v>4289535600</v>
      </c>
      <c r="D13" s="5">
        <f>ITU!F$6*$B$8</f>
        <v>3994524000</v>
      </c>
      <c r="E13" s="14">
        <f>ITU!G$6*$B$8</f>
        <v>3773164800</v>
      </c>
      <c r="F13" s="5">
        <f>E13*(1+$B$4)</f>
        <v>3754298976</v>
      </c>
      <c r="G13" s="5">
        <f t="shared" ref="G13" si="0">F13*(1+$B$4)</f>
        <v>3735527481.1199999</v>
      </c>
      <c r="H13" s="5">
        <f t="shared" ref="H13" si="1">G13*(1+$B$4)</f>
        <v>3716849843.7143998</v>
      </c>
      <c r="I13" s="5">
        <f t="shared" ref="I13" si="2">H13*(1+$B$4)</f>
        <v>3698265594.4958277</v>
      </c>
      <c r="J13" s="5">
        <f t="shared" ref="J13" si="3">I13*(1+$B$4)</f>
        <v>3679774266.5233483</v>
      </c>
      <c r="K13" s="5">
        <f t="shared" ref="K13" si="4">J13*(1+$B$4)</f>
        <v>3661375395.1907315</v>
      </c>
      <c r="L13" s="5">
        <f t="shared" ref="L13" si="5">K13*(1+$B$4)</f>
        <v>3643068518.2147779</v>
      </c>
      <c r="M13" s="5">
        <f t="shared" ref="M13" si="6">L13*(1+$B$4)</f>
        <v>3624853175.623704</v>
      </c>
      <c r="N13" s="5">
        <f t="shared" ref="N13" si="7">M13*(1+$B$4)</f>
        <v>3606728909.7455854</v>
      </c>
      <c r="O13" s="5">
        <f t="shared" ref="O13" si="8">N13*(1+$B$4)</f>
        <v>3588695265.1968575</v>
      </c>
      <c r="P13" s="5">
        <f t="shared" ref="P13" si="9">O13*(1+$B$4)</f>
        <v>3570751788.870873</v>
      </c>
      <c r="Q13" s="5">
        <f t="shared" ref="Q13" si="10">P13*(1+$B$4)</f>
        <v>3552898029.9265184</v>
      </c>
      <c r="R13" s="5">
        <f t="shared" ref="R13" si="11">Q13*(1+$B$4)</f>
        <v>3535133539.776886</v>
      </c>
      <c r="S13" s="5">
        <f t="shared" ref="S13" si="12">R13*(1+$B$4)</f>
        <v>3517457872.0780015</v>
      </c>
      <c r="T13" s="5">
        <f t="shared" ref="T13" si="13">S13*(1+$B$4)</f>
        <v>3499870582.7176113</v>
      </c>
      <c r="U13" s="5">
        <f t="shared" ref="U13" si="14">T13*(1+$B$4)</f>
        <v>3482371229.8040233</v>
      </c>
    </row>
    <row r="14" spans="1:21" x14ac:dyDescent="0.25">
      <c r="A14" s="22" t="str">
        <v>Medium growth scenario</v>
      </c>
      <c r="B14" s="5">
        <f>ITU!D$6*$B$8</f>
        <v>4255420800</v>
      </c>
      <c r="C14" s="5">
        <f>ITU!E$6*$B$8</f>
        <v>4289535600</v>
      </c>
      <c r="D14" s="5">
        <f>ITU!F$6*$B$8</f>
        <v>3994524000</v>
      </c>
      <c r="E14" s="5">
        <f>ITU!G$6*$B$8</f>
        <v>3773164800</v>
      </c>
      <c r="F14" s="5">
        <f>E14*(1+$B$5)</f>
        <v>3773164800</v>
      </c>
      <c r="G14" s="5">
        <f t="shared" ref="G14" si="15">F14*(1+$B$5)</f>
        <v>3773164800</v>
      </c>
      <c r="H14" s="5">
        <f t="shared" ref="H14" si="16">G14*(1+$B$5)</f>
        <v>3773164800</v>
      </c>
      <c r="I14" s="5">
        <f t="shared" ref="I14" si="17">H14*(1+$B$5)</f>
        <v>3773164800</v>
      </c>
      <c r="J14" s="5">
        <f t="shared" ref="J14" si="18">I14*(1+$B$5)</f>
        <v>3773164800</v>
      </c>
      <c r="K14" s="5">
        <f t="shared" ref="K14" si="19">J14*(1+$B$5)</f>
        <v>3773164800</v>
      </c>
      <c r="L14" s="5">
        <f t="shared" ref="L14" si="20">K14*(1+$B$5)</f>
        <v>3773164800</v>
      </c>
      <c r="M14" s="5">
        <f t="shared" ref="M14" si="21">L14*(1+$B$5)</f>
        <v>3773164800</v>
      </c>
      <c r="N14" s="5">
        <f t="shared" ref="N14" si="22">M14*(1+$B$5)</f>
        <v>3773164800</v>
      </c>
      <c r="O14" s="5">
        <f t="shared" ref="O14" si="23">N14*(1+$B$5)</f>
        <v>3773164800</v>
      </c>
      <c r="P14" s="5">
        <f t="shared" ref="P14" si="24">O14*(1+$B$5)</f>
        <v>3773164800</v>
      </c>
      <c r="Q14" s="5">
        <f t="shared" ref="Q14" si="25">P14*(1+$B$5)</f>
        <v>3773164800</v>
      </c>
      <c r="R14" s="5">
        <f t="shared" ref="R14" si="26">Q14*(1+$B$5)</f>
        <v>3773164800</v>
      </c>
      <c r="S14" s="5">
        <f t="shared" ref="S14" si="27">R14*(1+$B$5)</f>
        <v>3773164800</v>
      </c>
      <c r="T14" s="5">
        <f t="shared" ref="T14" si="28">S14*(1+$B$5)</f>
        <v>3773164800</v>
      </c>
      <c r="U14" s="5">
        <f t="shared" ref="U14" si="29">T14*(1+$B$5)</f>
        <v>3773164800</v>
      </c>
    </row>
    <row r="15" spans="1:21" x14ac:dyDescent="0.25">
      <c r="A15" s="22" t="str">
        <v>High growth scenario</v>
      </c>
      <c r="B15" s="5">
        <f>ITU!D$6*$B$8</f>
        <v>4255420800</v>
      </c>
      <c r="C15" s="5">
        <f>ITU!E$6*$B$8</f>
        <v>4289535600</v>
      </c>
      <c r="D15" s="5">
        <f>ITU!F$6*$B$8</f>
        <v>3994524000</v>
      </c>
      <c r="E15" s="5">
        <f>ITU!G$6*$B$8</f>
        <v>3773164800</v>
      </c>
      <c r="F15" s="5">
        <f>E15*(1+$B$6)</f>
        <v>3792030623.9999995</v>
      </c>
      <c r="G15" s="5">
        <f t="shared" ref="G15" si="30">F15*(1+$B$6)</f>
        <v>3810990777.1199989</v>
      </c>
      <c r="H15" s="5">
        <f t="shared" ref="H15" si="31">G15*(1+$B$6)</f>
        <v>3830045731.0055985</v>
      </c>
      <c r="I15" s="5">
        <f t="shared" ref="I15" si="32">H15*(1+$B$6)</f>
        <v>3849195959.6606259</v>
      </c>
      <c r="J15" s="5">
        <f t="shared" ref="J15" si="33">I15*(1+$B$6)</f>
        <v>3868441939.4589286</v>
      </c>
      <c r="K15" s="5">
        <f t="shared" ref="K15" si="34">J15*(1+$B$6)</f>
        <v>3887784149.1562228</v>
      </c>
      <c r="L15" s="5">
        <f t="shared" ref="L15" si="35">K15*(1+$B$6)</f>
        <v>3907223069.9020033</v>
      </c>
      <c r="M15" s="5">
        <f t="shared" ref="M15" si="36">L15*(1+$B$6)</f>
        <v>3926759185.251513</v>
      </c>
      <c r="N15" s="5">
        <f t="shared" ref="N15" si="37">M15*(1+$B$6)</f>
        <v>3946392981.1777701</v>
      </c>
      <c r="O15" s="5">
        <f t="shared" ref="O15" si="38">N15*(1+$B$6)</f>
        <v>3966124946.0836587</v>
      </c>
      <c r="P15" s="5">
        <f t="shared" ref="P15" si="39">O15*(1+$B$6)</f>
        <v>3985955570.8140764</v>
      </c>
      <c r="Q15" s="5">
        <f t="shared" ref="Q15" si="40">P15*(1+$B$6)</f>
        <v>4005885348.6681466</v>
      </c>
      <c r="R15" s="5">
        <f t="shared" ref="R15" si="41">Q15*(1+$B$6)</f>
        <v>4025914775.4114871</v>
      </c>
      <c r="S15" s="5">
        <f t="shared" ref="S15" si="42">R15*(1+$B$6)</f>
        <v>4046044349.2885442</v>
      </c>
      <c r="T15" s="5">
        <f t="shared" ref="T15" si="43">S15*(1+$B$6)</f>
        <v>4066274571.0349865</v>
      </c>
      <c r="U15" s="5">
        <f t="shared" ref="U15" si="44">T15*(1+$B$6)</f>
        <v>4086605943.890161</v>
      </c>
    </row>
    <row r="17" spans="1:21" x14ac:dyDescent="0.25">
      <c r="A17" s="54" t="s">
        <v>357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9" spans="1:21" x14ac:dyDescent="0.25">
      <c r="A19" s="236"/>
      <c r="B19" s="58" cm="1">
        <f t="array" ref="B19:U19">years</f>
        <v>2018</v>
      </c>
      <c r="C19" s="58">
        <v>2019</v>
      </c>
      <c r="D19" s="58">
        <v>2020</v>
      </c>
      <c r="E19" s="58">
        <v>2021</v>
      </c>
      <c r="F19" s="58">
        <v>2022</v>
      </c>
      <c r="G19" s="58">
        <v>2023</v>
      </c>
      <c r="H19" s="58">
        <v>2024</v>
      </c>
      <c r="I19" s="58">
        <v>2025</v>
      </c>
      <c r="J19" s="58">
        <v>2026</v>
      </c>
      <c r="K19" s="58">
        <v>2027</v>
      </c>
      <c r="L19" s="58">
        <v>2028</v>
      </c>
      <c r="M19" s="58">
        <v>2029</v>
      </c>
      <c r="N19" s="58">
        <v>2030</v>
      </c>
      <c r="O19" s="58">
        <v>2031</v>
      </c>
      <c r="P19" s="58">
        <v>2032</v>
      </c>
      <c r="Q19" s="58">
        <v>2033</v>
      </c>
      <c r="R19" s="58">
        <v>2034</v>
      </c>
      <c r="S19" s="58">
        <v>2035</v>
      </c>
      <c r="T19" s="58">
        <v>2036</v>
      </c>
      <c r="U19" s="58">
        <v>2037</v>
      </c>
    </row>
    <row r="20" spans="1:21" x14ac:dyDescent="0.25">
      <c r="A20" s="22" t="str" cm="1">
        <f t="array" ref="A20:A22">growth_scenarios</f>
        <v>Low growth scenario</v>
      </c>
      <c r="B20" s="5">
        <f>ITU!D$6*(1-$B$8)</f>
        <v>2836947200</v>
      </c>
      <c r="C20" s="5">
        <f>ITU!E$6*(1-$B$8)</f>
        <v>2859690400</v>
      </c>
      <c r="D20" s="5">
        <f>ITU!F$6*(1-$B$8)</f>
        <v>2663016000</v>
      </c>
      <c r="E20" s="5">
        <f>ITU!G$6*(1-$B$8)</f>
        <v>2515443200</v>
      </c>
      <c r="F20" s="5">
        <f>E20*(1+$B$4)</f>
        <v>2502865984</v>
      </c>
      <c r="G20" s="5">
        <f t="shared" ref="G20" si="45">F20*(1+$B$4)</f>
        <v>2490351654.0799999</v>
      </c>
      <c r="H20" s="5">
        <f t="shared" ref="H20" si="46">G20*(1+$B$4)</f>
        <v>2477899895.8095999</v>
      </c>
      <c r="I20" s="5">
        <f t="shared" ref="I20" si="47">H20*(1+$B$4)</f>
        <v>2465510396.3305521</v>
      </c>
      <c r="J20" s="5">
        <f t="shared" ref="J20" si="48">I20*(1+$B$4)</f>
        <v>2453182844.3488994</v>
      </c>
      <c r="K20" s="5">
        <f t="shared" ref="K20" si="49">J20*(1+$B$4)</f>
        <v>2440916930.1271548</v>
      </c>
      <c r="L20" s="5">
        <f t="shared" ref="L20" si="50">K20*(1+$B$4)</f>
        <v>2428712345.4765191</v>
      </c>
      <c r="M20" s="5">
        <f t="shared" ref="M20" si="51">L20*(1+$B$4)</f>
        <v>2416568783.7491364</v>
      </c>
      <c r="N20" s="5">
        <f t="shared" ref="N20" si="52">M20*(1+$B$4)</f>
        <v>2404485939.8303909</v>
      </c>
      <c r="O20" s="5">
        <f t="shared" ref="O20" si="53">N20*(1+$B$4)</f>
        <v>2392463510.1312389</v>
      </c>
      <c r="P20" s="5">
        <f t="shared" ref="P20" si="54">O20*(1+$B$4)</f>
        <v>2380501192.5805826</v>
      </c>
      <c r="Q20" s="5">
        <f t="shared" ref="Q20" si="55">P20*(1+$B$4)</f>
        <v>2368598686.6176796</v>
      </c>
      <c r="R20" s="5">
        <f t="shared" ref="R20" si="56">Q20*(1+$B$4)</f>
        <v>2356755693.1845913</v>
      </c>
      <c r="S20" s="5">
        <f t="shared" ref="S20" si="57">R20*(1+$B$4)</f>
        <v>2344971914.7186685</v>
      </c>
      <c r="T20" s="5">
        <f t="shared" ref="T20" si="58">S20*(1+$B$4)</f>
        <v>2333247055.1450753</v>
      </c>
      <c r="U20" s="5">
        <f t="shared" ref="U20" si="59">T20*(1+$B$4)</f>
        <v>2321580819.86935</v>
      </c>
    </row>
    <row r="21" spans="1:21" x14ac:dyDescent="0.25">
      <c r="A21" s="22" t="str">
        <v>Medium growth scenario</v>
      </c>
      <c r="B21" s="5">
        <f>ITU!D$6*(1-$B$8)</f>
        <v>2836947200</v>
      </c>
      <c r="C21" s="5">
        <f>ITU!E$6*(1-$B$8)</f>
        <v>2859690400</v>
      </c>
      <c r="D21" s="5">
        <f>ITU!F$6*(1-$B$8)</f>
        <v>2663016000</v>
      </c>
      <c r="E21" s="5">
        <f>ITU!G$6*(1-$B$8)</f>
        <v>2515443200</v>
      </c>
      <c r="F21" s="5">
        <f>E21*(1+$B$5)</f>
        <v>2515443200</v>
      </c>
      <c r="G21" s="5">
        <f t="shared" ref="G21" si="60">F21*(1+$B$5)</f>
        <v>2515443200</v>
      </c>
      <c r="H21" s="5">
        <f t="shared" ref="H21" si="61">G21*(1+$B$5)</f>
        <v>2515443200</v>
      </c>
      <c r="I21" s="5">
        <f t="shared" ref="I21" si="62">H21*(1+$B$5)</f>
        <v>2515443200</v>
      </c>
      <c r="J21" s="5">
        <f t="shared" ref="J21" si="63">I21*(1+$B$5)</f>
        <v>2515443200</v>
      </c>
      <c r="K21" s="5">
        <f t="shared" ref="K21" si="64">J21*(1+$B$5)</f>
        <v>2515443200</v>
      </c>
      <c r="L21" s="5">
        <f t="shared" ref="L21" si="65">K21*(1+$B$5)</f>
        <v>2515443200</v>
      </c>
      <c r="M21" s="5">
        <f t="shared" ref="M21" si="66">L21*(1+$B$5)</f>
        <v>2515443200</v>
      </c>
      <c r="N21" s="5">
        <f t="shared" ref="N21" si="67">M21*(1+$B$5)</f>
        <v>2515443200</v>
      </c>
      <c r="O21" s="5">
        <f t="shared" ref="O21" si="68">N21*(1+$B$5)</f>
        <v>2515443200</v>
      </c>
      <c r="P21" s="5">
        <f t="shared" ref="P21" si="69">O21*(1+$B$5)</f>
        <v>2515443200</v>
      </c>
      <c r="Q21" s="5">
        <f t="shared" ref="Q21" si="70">P21*(1+$B$5)</f>
        <v>2515443200</v>
      </c>
      <c r="R21" s="5">
        <f t="shared" ref="R21" si="71">Q21*(1+$B$5)</f>
        <v>2515443200</v>
      </c>
      <c r="S21" s="5">
        <f t="shared" ref="S21" si="72">R21*(1+$B$5)</f>
        <v>2515443200</v>
      </c>
      <c r="T21" s="5">
        <f t="shared" ref="T21" si="73">S21*(1+$B$5)</f>
        <v>2515443200</v>
      </c>
      <c r="U21" s="5">
        <f t="shared" ref="U21" si="74">T21*(1+$B$5)</f>
        <v>2515443200</v>
      </c>
    </row>
    <row r="22" spans="1:21" x14ac:dyDescent="0.25">
      <c r="A22" s="22" t="str">
        <v>High growth scenario</v>
      </c>
      <c r="B22" s="5">
        <f>ITU!D$6*(1-$B$8)</f>
        <v>2836947200</v>
      </c>
      <c r="C22" s="5">
        <f>ITU!E$6*(1-$B$8)</f>
        <v>2859690400</v>
      </c>
      <c r="D22" s="5">
        <f>ITU!F$6*(1-$B$8)</f>
        <v>2663016000</v>
      </c>
      <c r="E22" s="5">
        <f>ITU!G$6*(1-$B$8)</f>
        <v>2515443200</v>
      </c>
      <c r="F22" s="5">
        <f>E22*(1+$B$6)</f>
        <v>2528020415.9999995</v>
      </c>
      <c r="G22" s="5">
        <f t="shared" ref="G22" si="75">F22*(1+$B$6)</f>
        <v>2540660518.0799994</v>
      </c>
      <c r="H22" s="5">
        <f t="shared" ref="H22" si="76">G22*(1+$B$6)</f>
        <v>2553363820.6703992</v>
      </c>
      <c r="I22" s="5">
        <f t="shared" ref="I22" si="77">H22*(1+$B$6)</f>
        <v>2566130639.7737508</v>
      </c>
      <c r="J22" s="5">
        <f t="shared" ref="J22" si="78">I22*(1+$B$6)</f>
        <v>2578961292.9726191</v>
      </c>
      <c r="K22" s="5">
        <f t="shared" ref="K22" si="79">J22*(1+$B$6)</f>
        <v>2591856099.4374819</v>
      </c>
      <c r="L22" s="5">
        <f t="shared" ref="L22" si="80">K22*(1+$B$6)</f>
        <v>2604815379.934669</v>
      </c>
      <c r="M22" s="5">
        <f t="shared" ref="M22" si="81">L22*(1+$B$6)</f>
        <v>2617839456.834342</v>
      </c>
      <c r="N22" s="5">
        <f t="shared" ref="N22" si="82">M22*(1+$B$6)</f>
        <v>2630928654.1185136</v>
      </c>
      <c r="O22" s="5">
        <f t="shared" ref="O22" si="83">N22*(1+$B$6)</f>
        <v>2644083297.3891058</v>
      </c>
      <c r="P22" s="5">
        <f t="shared" ref="P22" si="84">O22*(1+$B$6)</f>
        <v>2657303713.8760509</v>
      </c>
      <c r="Q22" s="5">
        <f t="shared" ref="Q22" si="85">P22*(1+$B$6)</f>
        <v>2670590232.4454308</v>
      </c>
      <c r="R22" s="5">
        <f t="shared" ref="R22" si="86">Q22*(1+$B$6)</f>
        <v>2683943183.6076574</v>
      </c>
      <c r="S22" s="5">
        <f t="shared" ref="S22" si="87">R22*(1+$B$6)</f>
        <v>2697362899.5256953</v>
      </c>
      <c r="T22" s="5">
        <f t="shared" ref="T22" si="88">S22*(1+$B$6)</f>
        <v>2710849714.0233235</v>
      </c>
      <c r="U22" s="5">
        <f t="shared" ref="U22" si="89">T22*(1+$B$6)</f>
        <v>2724403962.5934401</v>
      </c>
    </row>
    <row r="24" spans="1:21" x14ac:dyDescent="0.25">
      <c r="A24" s="54" t="s">
        <v>207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</row>
    <row r="26" spans="1:21" x14ac:dyDescent="0.25">
      <c r="A26" s="236"/>
      <c r="B26" s="58">
        <f t="shared" ref="B26:U29" si="90">B19</f>
        <v>2018</v>
      </c>
      <c r="C26" s="58">
        <f t="shared" si="90"/>
        <v>2019</v>
      </c>
      <c r="D26" s="58">
        <f t="shared" si="90"/>
        <v>2020</v>
      </c>
      <c r="E26" s="58">
        <f t="shared" si="90"/>
        <v>2021</v>
      </c>
      <c r="F26" s="58">
        <f t="shared" si="90"/>
        <v>2022</v>
      </c>
      <c r="G26" s="58">
        <f t="shared" si="90"/>
        <v>2023</v>
      </c>
      <c r="H26" s="58">
        <f t="shared" si="90"/>
        <v>2024</v>
      </c>
      <c r="I26" s="58">
        <f t="shared" si="90"/>
        <v>2025</v>
      </c>
      <c r="J26" s="58">
        <f t="shared" si="90"/>
        <v>2026</v>
      </c>
      <c r="K26" s="58">
        <f t="shared" si="90"/>
        <v>2027</v>
      </c>
      <c r="L26" s="58">
        <f t="shared" si="90"/>
        <v>2028</v>
      </c>
      <c r="M26" s="58">
        <f t="shared" si="90"/>
        <v>2029</v>
      </c>
      <c r="N26" s="58">
        <f t="shared" si="90"/>
        <v>2030</v>
      </c>
      <c r="O26" s="58">
        <f t="shared" si="90"/>
        <v>2031</v>
      </c>
      <c r="P26" s="58">
        <f t="shared" si="90"/>
        <v>2032</v>
      </c>
      <c r="Q26" s="58">
        <f t="shared" si="90"/>
        <v>2033</v>
      </c>
      <c r="R26" s="58">
        <f t="shared" si="90"/>
        <v>2034</v>
      </c>
      <c r="S26" s="58">
        <f t="shared" si="90"/>
        <v>2035</v>
      </c>
      <c r="T26" s="58">
        <f t="shared" si="90"/>
        <v>2036</v>
      </c>
      <c r="U26" s="58">
        <f t="shared" si="90"/>
        <v>2037</v>
      </c>
    </row>
    <row r="27" spans="1:21" x14ac:dyDescent="0.25">
      <c r="A27" s="22" t="str">
        <f t="shared" ref="A27:P29" si="91">A20</f>
        <v>Low growth scenario</v>
      </c>
      <c r="B27" s="5">
        <f t="shared" si="91"/>
        <v>2836947200</v>
      </c>
      <c r="C27" s="5">
        <f t="shared" si="91"/>
        <v>2859690400</v>
      </c>
      <c r="D27" s="5">
        <f t="shared" si="91"/>
        <v>2663016000</v>
      </c>
      <c r="E27" s="5">
        <f t="shared" si="91"/>
        <v>2515443200</v>
      </c>
      <c r="F27" s="5">
        <f t="shared" si="91"/>
        <v>2502865984</v>
      </c>
      <c r="G27" s="5">
        <f t="shared" si="91"/>
        <v>2490351654.0799999</v>
      </c>
      <c r="H27" s="5">
        <f t="shared" si="91"/>
        <v>2477899895.8095999</v>
      </c>
      <c r="I27" s="5">
        <f t="shared" si="91"/>
        <v>2465510396.3305521</v>
      </c>
      <c r="J27" s="5">
        <f t="shared" si="91"/>
        <v>2453182844.3488994</v>
      </c>
      <c r="K27" s="5">
        <f t="shared" si="91"/>
        <v>2440916930.1271548</v>
      </c>
      <c r="L27" s="5">
        <f t="shared" si="91"/>
        <v>2428712345.4765191</v>
      </c>
      <c r="M27" s="5">
        <f t="shared" si="91"/>
        <v>2416568783.7491364</v>
      </c>
      <c r="N27" s="5">
        <f t="shared" si="91"/>
        <v>2404485939.8303909</v>
      </c>
      <c r="O27" s="5">
        <f t="shared" si="91"/>
        <v>2392463510.1312389</v>
      </c>
      <c r="P27" s="5">
        <f t="shared" si="91"/>
        <v>2380501192.5805826</v>
      </c>
      <c r="Q27" s="5">
        <f t="shared" si="90"/>
        <v>2368598686.6176796</v>
      </c>
      <c r="R27" s="5">
        <f t="shared" si="90"/>
        <v>2356755693.1845913</v>
      </c>
      <c r="S27" s="5">
        <f t="shared" si="90"/>
        <v>2344971914.7186685</v>
      </c>
      <c r="T27" s="5">
        <f t="shared" si="90"/>
        <v>2333247055.1450753</v>
      </c>
      <c r="U27" s="5">
        <f t="shared" si="90"/>
        <v>2321580819.86935</v>
      </c>
    </row>
    <row r="28" spans="1:21" x14ac:dyDescent="0.25">
      <c r="A28" s="22" t="str">
        <f t="shared" si="91"/>
        <v>Medium growth scenario</v>
      </c>
      <c r="B28" s="5">
        <f t="shared" si="90"/>
        <v>2836947200</v>
      </c>
      <c r="C28" s="5">
        <f t="shared" si="90"/>
        <v>2859690400</v>
      </c>
      <c r="D28" s="5">
        <f t="shared" si="90"/>
        <v>2663016000</v>
      </c>
      <c r="E28" s="5">
        <f t="shared" si="90"/>
        <v>2515443200</v>
      </c>
      <c r="F28" s="5">
        <f t="shared" si="90"/>
        <v>2515443200</v>
      </c>
      <c r="G28" s="5">
        <f t="shared" si="90"/>
        <v>2515443200</v>
      </c>
      <c r="H28" s="5">
        <f t="shared" si="90"/>
        <v>2515443200</v>
      </c>
      <c r="I28" s="5">
        <f t="shared" si="90"/>
        <v>2515443200</v>
      </c>
      <c r="J28" s="5">
        <f t="shared" si="90"/>
        <v>2515443200</v>
      </c>
      <c r="K28" s="5">
        <f t="shared" si="90"/>
        <v>2515443200</v>
      </c>
      <c r="L28" s="5">
        <f t="shared" si="90"/>
        <v>2515443200</v>
      </c>
      <c r="M28" s="5">
        <f t="shared" si="90"/>
        <v>2515443200</v>
      </c>
      <c r="N28" s="5">
        <f t="shared" si="90"/>
        <v>2515443200</v>
      </c>
      <c r="O28" s="5">
        <f t="shared" si="90"/>
        <v>2515443200</v>
      </c>
      <c r="P28" s="5">
        <f t="shared" si="90"/>
        <v>2515443200</v>
      </c>
      <c r="Q28" s="5">
        <f t="shared" si="90"/>
        <v>2515443200</v>
      </c>
      <c r="R28" s="5">
        <f t="shared" si="90"/>
        <v>2515443200</v>
      </c>
      <c r="S28" s="5">
        <f t="shared" si="90"/>
        <v>2515443200</v>
      </c>
      <c r="T28" s="5">
        <f t="shared" si="90"/>
        <v>2515443200</v>
      </c>
      <c r="U28" s="5">
        <f t="shared" si="90"/>
        <v>2515443200</v>
      </c>
    </row>
    <row r="29" spans="1:21" x14ac:dyDescent="0.25">
      <c r="A29" s="22" t="str">
        <f t="shared" si="91"/>
        <v>High growth scenario</v>
      </c>
      <c r="B29" s="5">
        <f t="shared" si="90"/>
        <v>2836947200</v>
      </c>
      <c r="C29" s="5">
        <f t="shared" si="90"/>
        <v>2859690400</v>
      </c>
      <c r="D29" s="5">
        <f t="shared" si="90"/>
        <v>2663016000</v>
      </c>
      <c r="E29" s="5">
        <f t="shared" si="90"/>
        <v>2515443200</v>
      </c>
      <c r="F29" s="5">
        <f t="shared" si="90"/>
        <v>2528020415.9999995</v>
      </c>
      <c r="G29" s="5">
        <f t="shared" si="90"/>
        <v>2540660518.0799994</v>
      </c>
      <c r="H29" s="5">
        <f t="shared" si="90"/>
        <v>2553363820.6703992</v>
      </c>
      <c r="I29" s="5">
        <f t="shared" si="90"/>
        <v>2566130639.7737508</v>
      </c>
      <c r="J29" s="5">
        <f t="shared" si="90"/>
        <v>2578961292.9726191</v>
      </c>
      <c r="K29" s="5">
        <f t="shared" si="90"/>
        <v>2591856099.4374819</v>
      </c>
      <c r="L29" s="5">
        <f t="shared" si="90"/>
        <v>2604815379.934669</v>
      </c>
      <c r="M29" s="5">
        <f t="shared" si="90"/>
        <v>2617839456.834342</v>
      </c>
      <c r="N29" s="5">
        <f t="shared" si="90"/>
        <v>2630928654.1185136</v>
      </c>
      <c r="O29" s="5">
        <f t="shared" si="90"/>
        <v>2644083297.3891058</v>
      </c>
      <c r="P29" s="5">
        <f t="shared" si="90"/>
        <v>2657303713.8760509</v>
      </c>
      <c r="Q29" s="5">
        <f t="shared" si="90"/>
        <v>2670590232.4454308</v>
      </c>
      <c r="R29" s="5">
        <f t="shared" si="90"/>
        <v>2683943183.6076574</v>
      </c>
      <c r="S29" s="5">
        <f t="shared" si="90"/>
        <v>2697362899.5256953</v>
      </c>
      <c r="T29" s="5">
        <f t="shared" si="90"/>
        <v>2710849714.0233235</v>
      </c>
      <c r="U29" s="5">
        <f t="shared" si="90"/>
        <v>2724403962.5934401</v>
      </c>
    </row>
    <row r="31" spans="1:21" x14ac:dyDescent="0.25">
      <c r="A31" s="54" t="str">
        <f>ITU!A7</f>
        <v>Fixed to Mobile Telephone traffic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3" spans="1:21" x14ac:dyDescent="0.25">
      <c r="A33" s="236"/>
      <c r="B33" s="58" cm="1">
        <f t="array" ref="B33:U33">years</f>
        <v>2018</v>
      </c>
      <c r="C33" s="58">
        <v>2019</v>
      </c>
      <c r="D33" s="58">
        <v>2020</v>
      </c>
      <c r="E33" s="58">
        <v>2021</v>
      </c>
      <c r="F33" s="58">
        <v>2022</v>
      </c>
      <c r="G33" s="58">
        <v>2023</v>
      </c>
      <c r="H33" s="58">
        <v>2024</v>
      </c>
      <c r="I33" s="58">
        <v>2025</v>
      </c>
      <c r="J33" s="58">
        <v>2026</v>
      </c>
      <c r="K33" s="58">
        <v>2027</v>
      </c>
      <c r="L33" s="58">
        <v>2028</v>
      </c>
      <c r="M33" s="58">
        <v>2029</v>
      </c>
      <c r="N33" s="58">
        <v>2030</v>
      </c>
      <c r="O33" s="58">
        <v>2031</v>
      </c>
      <c r="P33" s="58">
        <v>2032</v>
      </c>
      <c r="Q33" s="58">
        <v>2033</v>
      </c>
      <c r="R33" s="58">
        <v>2034</v>
      </c>
      <c r="S33" s="58">
        <v>2035</v>
      </c>
      <c r="T33" s="58">
        <v>2036</v>
      </c>
      <c r="U33" s="58">
        <v>2037</v>
      </c>
    </row>
    <row r="34" spans="1:21" x14ac:dyDescent="0.25">
      <c r="A34" s="22" t="str" cm="1">
        <f t="array" ref="A34:A36">growth_scenarios</f>
        <v>Low growth scenario</v>
      </c>
      <c r="B34" s="5">
        <f>ITU!D$7</f>
        <v>8551483500</v>
      </c>
      <c r="C34" s="5">
        <f>ITU!E$7</f>
        <v>8327647999.999999</v>
      </c>
      <c r="D34" s="5">
        <f>ITU!F$7</f>
        <v>9636810000</v>
      </c>
      <c r="E34" s="5">
        <f>ITU!G$7</f>
        <v>9641760000</v>
      </c>
      <c r="F34" s="5">
        <f>E34*(1+$B$4)</f>
        <v>9593551200</v>
      </c>
      <c r="G34" s="5">
        <f t="shared" ref="G34" si="92">F34*(1+$B$4)</f>
        <v>9545583444</v>
      </c>
      <c r="H34" s="5">
        <f t="shared" ref="H34" si="93">G34*(1+$B$4)</f>
        <v>9497855526.7800007</v>
      </c>
      <c r="I34" s="5">
        <f t="shared" ref="I34" si="94">H34*(1+$B$4)</f>
        <v>9450366249.146101</v>
      </c>
      <c r="J34" s="5">
        <f t="shared" ref="J34" si="95">I34*(1+$B$4)</f>
        <v>9403114417.9003696</v>
      </c>
      <c r="K34" s="5">
        <f t="shared" ref="K34" si="96">J34*(1+$B$4)</f>
        <v>9356098845.8108673</v>
      </c>
      <c r="L34" s="5">
        <f t="shared" ref="L34" si="97">K34*(1+$B$4)</f>
        <v>9309318351.5818138</v>
      </c>
      <c r="M34" s="5">
        <f t="shared" ref="M34" si="98">L34*(1+$B$4)</f>
        <v>9262771759.823904</v>
      </c>
      <c r="N34" s="5">
        <f t="shared" ref="N34" si="99">M34*(1+$B$4)</f>
        <v>9216457901.0247841</v>
      </c>
      <c r="O34" s="5">
        <f t="shared" ref="O34" si="100">N34*(1+$B$4)</f>
        <v>9170375611.5196609</v>
      </c>
      <c r="P34" s="5">
        <f t="shared" ref="P34" si="101">O34*(1+$B$4)</f>
        <v>9124523733.4620628</v>
      </c>
      <c r="Q34" s="5">
        <f t="shared" ref="Q34" si="102">P34*(1+$B$4)</f>
        <v>9078901114.7947521</v>
      </c>
      <c r="R34" s="5">
        <f t="shared" ref="R34" si="103">Q34*(1+$B$4)</f>
        <v>9033506609.2207775</v>
      </c>
      <c r="S34" s="5">
        <f t="shared" ref="S34" si="104">R34*(1+$B$4)</f>
        <v>8988339076.1746731</v>
      </c>
      <c r="T34" s="5">
        <f t="shared" ref="T34" si="105">S34*(1+$B$4)</f>
        <v>8943397380.7938004</v>
      </c>
      <c r="U34" s="5">
        <f t="shared" ref="U34" si="106">T34*(1+$B$4)</f>
        <v>8898680393.8898315</v>
      </c>
    </row>
    <row r="35" spans="1:21" x14ac:dyDescent="0.25">
      <c r="A35" s="22" t="str">
        <v>Medium growth scenario</v>
      </c>
      <c r="B35" s="5">
        <f>ITU!D$7</f>
        <v>8551483500</v>
      </c>
      <c r="C35" s="5">
        <f>ITU!E$7</f>
        <v>8327647999.999999</v>
      </c>
      <c r="D35" s="5">
        <f>ITU!F$7</f>
        <v>9636810000</v>
      </c>
      <c r="E35" s="5">
        <f>ITU!G$7</f>
        <v>9641760000</v>
      </c>
      <c r="F35" s="5">
        <f>E35*(1+$B$5)</f>
        <v>9641760000</v>
      </c>
      <c r="G35" s="5">
        <f t="shared" ref="G35" si="107">F35*(1+$B$5)</f>
        <v>9641760000</v>
      </c>
      <c r="H35" s="5">
        <f t="shared" ref="H35" si="108">G35*(1+$B$5)</f>
        <v>9641760000</v>
      </c>
      <c r="I35" s="5">
        <f t="shared" ref="I35" si="109">H35*(1+$B$5)</f>
        <v>9641760000</v>
      </c>
      <c r="J35" s="5">
        <f t="shared" ref="J35" si="110">I35*(1+$B$5)</f>
        <v>9641760000</v>
      </c>
      <c r="K35" s="5">
        <f t="shared" ref="K35" si="111">J35*(1+$B$5)</f>
        <v>9641760000</v>
      </c>
      <c r="L35" s="5">
        <f t="shared" ref="L35" si="112">K35*(1+$B$5)</f>
        <v>9641760000</v>
      </c>
      <c r="M35" s="5">
        <f t="shared" ref="M35" si="113">L35*(1+$B$5)</f>
        <v>9641760000</v>
      </c>
      <c r="N35" s="5">
        <f t="shared" ref="N35" si="114">M35*(1+$B$5)</f>
        <v>9641760000</v>
      </c>
      <c r="O35" s="5">
        <f t="shared" ref="O35" si="115">N35*(1+$B$5)</f>
        <v>9641760000</v>
      </c>
      <c r="P35" s="5">
        <f t="shared" ref="P35" si="116">O35*(1+$B$5)</f>
        <v>9641760000</v>
      </c>
      <c r="Q35" s="5">
        <f t="shared" ref="Q35" si="117">P35*(1+$B$5)</f>
        <v>9641760000</v>
      </c>
      <c r="R35" s="5">
        <f t="shared" ref="R35" si="118">Q35*(1+$B$5)</f>
        <v>9641760000</v>
      </c>
      <c r="S35" s="5">
        <f t="shared" ref="S35" si="119">R35*(1+$B$5)</f>
        <v>9641760000</v>
      </c>
      <c r="T35" s="5">
        <f t="shared" ref="T35" si="120">S35*(1+$B$5)</f>
        <v>9641760000</v>
      </c>
      <c r="U35" s="5">
        <f t="shared" ref="U35" si="121">T35*(1+$B$5)</f>
        <v>9641760000</v>
      </c>
    </row>
    <row r="36" spans="1:21" x14ac:dyDescent="0.25">
      <c r="A36" s="22" t="str">
        <v>High growth scenario</v>
      </c>
      <c r="B36" s="5">
        <f>ITU!D$7</f>
        <v>8551483500</v>
      </c>
      <c r="C36" s="5">
        <f>ITU!E$7</f>
        <v>8327647999.999999</v>
      </c>
      <c r="D36" s="5">
        <f>ITU!F$7</f>
        <v>9636810000</v>
      </c>
      <c r="E36" s="5">
        <f>ITU!G$7</f>
        <v>9641760000</v>
      </c>
      <c r="F36" s="5">
        <f>E36*(1+$B$6)</f>
        <v>9689968799.9999981</v>
      </c>
      <c r="G36" s="5">
        <f t="shared" ref="G36" si="122">F36*(1+$B$6)</f>
        <v>9738418643.9999962</v>
      </c>
      <c r="H36" s="5">
        <f t="shared" ref="H36" si="123">G36*(1+$B$6)</f>
        <v>9787110737.2199955</v>
      </c>
      <c r="I36" s="5">
        <f t="shared" ref="I36" si="124">H36*(1+$B$6)</f>
        <v>9836046290.9060936</v>
      </c>
      <c r="J36" s="5">
        <f t="shared" ref="J36" si="125">I36*(1+$B$6)</f>
        <v>9885226522.3606224</v>
      </c>
      <c r="K36" s="5">
        <f t="shared" ref="K36" si="126">J36*(1+$B$6)</f>
        <v>9934652654.9724236</v>
      </c>
      <c r="L36" s="5">
        <f t="shared" ref="L36" si="127">K36*(1+$B$6)</f>
        <v>9984325918.2472839</v>
      </c>
      <c r="M36" s="5">
        <f t="shared" ref="M36" si="128">L36*(1+$B$6)</f>
        <v>10034247547.83852</v>
      </c>
      <c r="N36" s="5">
        <f t="shared" ref="N36" si="129">M36*(1+$B$6)</f>
        <v>10084418785.577711</v>
      </c>
      <c r="O36" s="5">
        <f t="shared" ref="O36" si="130">N36*(1+$B$6)</f>
        <v>10134840879.505598</v>
      </c>
      <c r="P36" s="5">
        <f t="shared" ref="P36" si="131">O36*(1+$B$6)</f>
        <v>10185515083.903126</v>
      </c>
      <c r="Q36" s="5">
        <f t="shared" ref="Q36" si="132">P36*(1+$B$6)</f>
        <v>10236442659.322639</v>
      </c>
      <c r="R36" s="5">
        <f t="shared" ref="R36" si="133">Q36*(1+$B$6)</f>
        <v>10287624872.619251</v>
      </c>
      <c r="S36" s="5">
        <f t="shared" ref="S36" si="134">R36*(1+$B$6)</f>
        <v>10339062996.982346</v>
      </c>
      <c r="T36" s="5">
        <f t="shared" ref="T36" si="135">S36*(1+$B$6)</f>
        <v>10390758311.967257</v>
      </c>
      <c r="U36" s="5">
        <f t="shared" ref="U36" si="136">T36*(1+$B$6)</f>
        <v>10442712103.527092</v>
      </c>
    </row>
    <row r="38" spans="1:21" x14ac:dyDescent="0.25">
      <c r="A38" s="54" t="str">
        <f>ITU!A11</f>
        <v>Outgoing mobile traffic to fixed networks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</row>
    <row r="40" spans="1:21" x14ac:dyDescent="0.25">
      <c r="A40" s="236"/>
      <c r="B40" s="58" cm="1">
        <f t="array" ref="B40:U40">years</f>
        <v>2018</v>
      </c>
      <c r="C40" s="58">
        <v>2019</v>
      </c>
      <c r="D40" s="58">
        <v>2020</v>
      </c>
      <c r="E40" s="58">
        <v>2021</v>
      </c>
      <c r="F40" s="58">
        <v>2022</v>
      </c>
      <c r="G40" s="58">
        <v>2023</v>
      </c>
      <c r="H40" s="58">
        <v>2024</v>
      </c>
      <c r="I40" s="58">
        <v>2025</v>
      </c>
      <c r="J40" s="58">
        <v>2026</v>
      </c>
      <c r="K40" s="58">
        <v>2027</v>
      </c>
      <c r="L40" s="58">
        <v>2028</v>
      </c>
      <c r="M40" s="58">
        <v>2029</v>
      </c>
      <c r="N40" s="58">
        <v>2030</v>
      </c>
      <c r="O40" s="58">
        <v>2031</v>
      </c>
      <c r="P40" s="58">
        <v>2032</v>
      </c>
      <c r="Q40" s="58">
        <v>2033</v>
      </c>
      <c r="R40" s="58">
        <v>2034</v>
      </c>
      <c r="S40" s="58">
        <v>2035</v>
      </c>
      <c r="T40" s="58">
        <v>2036</v>
      </c>
      <c r="U40" s="58">
        <v>2037</v>
      </c>
    </row>
    <row r="41" spans="1:21" x14ac:dyDescent="0.25">
      <c r="A41" s="22" t="str" cm="1">
        <f t="array" ref="A41:A43">growth_scenarios</f>
        <v>Low growth scenario</v>
      </c>
      <c r="B41" s="4">
        <f>ITU!D11</f>
        <v>2484972000</v>
      </c>
      <c r="C41" s="4">
        <f>ITU!E11</f>
        <v>3448648000</v>
      </c>
      <c r="D41" s="4">
        <f>ITU!F11</f>
        <v>4418355000</v>
      </c>
      <c r="E41" s="4">
        <f>ITU!G11</f>
        <v>4390736000</v>
      </c>
      <c r="F41" s="5">
        <f>E41*(1+$B$4)</f>
        <v>4368782320</v>
      </c>
      <c r="G41" s="5">
        <f t="shared" ref="G41" si="137">F41*(1+$B$4)</f>
        <v>4346938408.3999996</v>
      </c>
      <c r="H41" s="5">
        <f t="shared" ref="H41" si="138">G41*(1+$B$4)</f>
        <v>4325203716.3579998</v>
      </c>
      <c r="I41" s="5">
        <f t="shared" ref="I41" si="139">H41*(1+$B$4)</f>
        <v>4303577697.7762098</v>
      </c>
      <c r="J41" s="5">
        <f t="shared" ref="J41" si="140">I41*(1+$B$4)</f>
        <v>4282059809.2873287</v>
      </c>
      <c r="K41" s="5">
        <f t="shared" ref="K41" si="141">J41*(1+$B$4)</f>
        <v>4260649510.2408919</v>
      </c>
      <c r="L41" s="5">
        <f t="shared" ref="L41" si="142">K41*(1+$B$4)</f>
        <v>4239346262.6896873</v>
      </c>
      <c r="M41" s="5">
        <f t="shared" ref="M41" si="143">L41*(1+$B$4)</f>
        <v>4218149531.3762388</v>
      </c>
      <c r="N41" s="5">
        <f t="shared" ref="N41" si="144">M41*(1+$B$4)</f>
        <v>4197058783.7193575</v>
      </c>
      <c r="O41" s="5">
        <f t="shared" ref="O41" si="145">N41*(1+$B$4)</f>
        <v>4176073489.8007607</v>
      </c>
      <c r="P41" s="5">
        <f t="shared" ref="P41" si="146">O41*(1+$B$4)</f>
        <v>4155193122.351757</v>
      </c>
      <c r="Q41" s="5">
        <f t="shared" ref="Q41" si="147">P41*(1+$B$4)</f>
        <v>4134417156.7399983</v>
      </c>
      <c r="R41" s="5">
        <f t="shared" ref="R41" si="148">Q41*(1+$B$4)</f>
        <v>4113745070.9562984</v>
      </c>
      <c r="S41" s="5">
        <f t="shared" ref="S41" si="149">R41*(1+$B$4)</f>
        <v>4093176345.6015167</v>
      </c>
      <c r="T41" s="5">
        <f t="shared" ref="T41" si="150">S41*(1+$B$4)</f>
        <v>4072710463.8735089</v>
      </c>
      <c r="U41" s="5">
        <f t="shared" ref="U41" si="151">T41*(1+$B$4)</f>
        <v>4052346911.5541415</v>
      </c>
    </row>
    <row r="42" spans="1:21" x14ac:dyDescent="0.25">
      <c r="A42" s="22" t="str">
        <v>Medium growth scenario</v>
      </c>
      <c r="B42" s="4">
        <f>ITU!D$11</f>
        <v>2484972000</v>
      </c>
      <c r="C42" s="4">
        <f>ITU!E$11</f>
        <v>3448648000</v>
      </c>
      <c r="D42" s="4">
        <f>ITU!F$11</f>
        <v>4418355000</v>
      </c>
      <c r="E42" s="4">
        <f>ITU!G$11</f>
        <v>4390736000</v>
      </c>
      <c r="F42" s="5">
        <f>E42*(1+$B$5)</f>
        <v>4390736000</v>
      </c>
      <c r="G42" s="5">
        <f t="shared" ref="G42" si="152">F42*(1+$B$5)</f>
        <v>4390736000</v>
      </c>
      <c r="H42" s="5">
        <f t="shared" ref="H42" si="153">G42*(1+$B$5)</f>
        <v>4390736000</v>
      </c>
      <c r="I42" s="5">
        <f t="shared" ref="I42" si="154">H42*(1+$B$5)</f>
        <v>4390736000</v>
      </c>
      <c r="J42" s="5">
        <f t="shared" ref="J42" si="155">I42*(1+$B$5)</f>
        <v>4390736000</v>
      </c>
      <c r="K42" s="5">
        <f t="shared" ref="K42" si="156">J42*(1+$B$5)</f>
        <v>4390736000</v>
      </c>
      <c r="L42" s="5">
        <f t="shared" ref="L42" si="157">K42*(1+$B$5)</f>
        <v>4390736000</v>
      </c>
      <c r="M42" s="5">
        <f t="shared" ref="M42" si="158">L42*(1+$B$5)</f>
        <v>4390736000</v>
      </c>
      <c r="N42" s="5">
        <f t="shared" ref="N42" si="159">M42*(1+$B$5)</f>
        <v>4390736000</v>
      </c>
      <c r="O42" s="5">
        <f t="shared" ref="O42" si="160">N42*(1+$B$5)</f>
        <v>4390736000</v>
      </c>
      <c r="P42" s="5">
        <f t="shared" ref="P42" si="161">O42*(1+$B$5)</f>
        <v>4390736000</v>
      </c>
      <c r="Q42" s="5">
        <f t="shared" ref="Q42" si="162">P42*(1+$B$5)</f>
        <v>4390736000</v>
      </c>
      <c r="R42" s="5">
        <f t="shared" ref="R42" si="163">Q42*(1+$B$5)</f>
        <v>4390736000</v>
      </c>
      <c r="S42" s="5">
        <f t="shared" ref="S42" si="164">R42*(1+$B$5)</f>
        <v>4390736000</v>
      </c>
      <c r="T42" s="5">
        <f t="shared" ref="T42" si="165">S42*(1+$B$5)</f>
        <v>4390736000</v>
      </c>
      <c r="U42" s="5">
        <f t="shared" ref="U42" si="166">T42*(1+$B$5)</f>
        <v>4390736000</v>
      </c>
    </row>
    <row r="43" spans="1:21" x14ac:dyDescent="0.25">
      <c r="A43" s="22" t="str">
        <v>High growth scenario</v>
      </c>
      <c r="B43" s="4">
        <f>ITU!D$11</f>
        <v>2484972000</v>
      </c>
      <c r="C43" s="4">
        <f>ITU!E$11</f>
        <v>3448648000</v>
      </c>
      <c r="D43" s="4">
        <f>ITU!F$11</f>
        <v>4418355000</v>
      </c>
      <c r="E43" s="4">
        <f>ITU!G$11</f>
        <v>4390736000</v>
      </c>
      <c r="F43" s="5">
        <f>E43*(1+$B$6)</f>
        <v>4412689680</v>
      </c>
      <c r="G43" s="5">
        <f t="shared" ref="G43" si="167">F43*(1+$B$6)</f>
        <v>4434753128.3999996</v>
      </c>
      <c r="H43" s="5">
        <f t="shared" ref="H43" si="168">G43*(1+$B$6)</f>
        <v>4456926894.0419989</v>
      </c>
      <c r="I43" s="5">
        <f t="shared" ref="I43" si="169">H43*(1+$B$6)</f>
        <v>4479211528.512208</v>
      </c>
      <c r="J43" s="5">
        <f t="shared" ref="J43" si="170">I43*(1+$B$6)</f>
        <v>4501607586.1547689</v>
      </c>
      <c r="K43" s="5">
        <f t="shared" ref="K43" si="171">J43*(1+$B$6)</f>
        <v>4524115624.0855427</v>
      </c>
      <c r="L43" s="5">
        <f t="shared" ref="L43" si="172">K43*(1+$B$6)</f>
        <v>4546736202.2059698</v>
      </c>
      <c r="M43" s="5">
        <f t="shared" ref="M43" si="173">L43*(1+$B$6)</f>
        <v>4569469883.2169991</v>
      </c>
      <c r="N43" s="5">
        <f t="shared" ref="N43" si="174">M43*(1+$B$6)</f>
        <v>4592317232.6330833</v>
      </c>
      <c r="O43" s="5">
        <f t="shared" ref="O43" si="175">N43*(1+$B$6)</f>
        <v>4615278818.7962484</v>
      </c>
      <c r="P43" s="5">
        <f t="shared" ref="P43" si="176">O43*(1+$B$6)</f>
        <v>4638355212.8902292</v>
      </c>
      <c r="Q43" s="5">
        <f t="shared" ref="Q43" si="177">P43*(1+$B$6)</f>
        <v>4661546988.9546795</v>
      </c>
      <c r="R43" s="5">
        <f t="shared" ref="R43" si="178">Q43*(1+$B$6)</f>
        <v>4684854723.8994522</v>
      </c>
      <c r="S43" s="5">
        <f t="shared" ref="S43" si="179">R43*(1+$B$6)</f>
        <v>4708278997.5189486</v>
      </c>
      <c r="T43" s="5">
        <f t="shared" ref="T43" si="180">S43*(1+$B$6)</f>
        <v>4731820392.5065432</v>
      </c>
      <c r="U43" s="5">
        <f t="shared" ref="U43" si="181">T43*(1+$B$6)</f>
        <v>4755479494.4690752</v>
      </c>
    </row>
    <row r="45" spans="1:21" x14ac:dyDescent="0.25">
      <c r="A45" s="54" t="str">
        <f>ITU!A8</f>
        <v xml:space="preserve">International incoming fixed telephone traffic 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</row>
    <row r="46" spans="1:21" x14ac:dyDescent="0.25">
      <c r="A46" s="26"/>
    </row>
    <row r="47" spans="1:21" x14ac:dyDescent="0.25">
      <c r="A47" s="236"/>
      <c r="B47" s="58" cm="1">
        <f t="array" ref="B47:U47">years</f>
        <v>2018</v>
      </c>
      <c r="C47" s="58">
        <v>2019</v>
      </c>
      <c r="D47" s="58">
        <v>2020</v>
      </c>
      <c r="E47" s="58">
        <v>2021</v>
      </c>
      <c r="F47" s="58">
        <v>2022</v>
      </c>
      <c r="G47" s="58">
        <v>2023</v>
      </c>
      <c r="H47" s="58">
        <v>2024</v>
      </c>
      <c r="I47" s="58">
        <v>2025</v>
      </c>
      <c r="J47" s="58">
        <v>2026</v>
      </c>
      <c r="K47" s="58">
        <v>2027</v>
      </c>
      <c r="L47" s="58">
        <v>2028</v>
      </c>
      <c r="M47" s="58">
        <v>2029</v>
      </c>
      <c r="N47" s="58">
        <v>2030</v>
      </c>
      <c r="O47" s="58">
        <v>2031</v>
      </c>
      <c r="P47" s="58">
        <v>2032</v>
      </c>
      <c r="Q47" s="58">
        <v>2033</v>
      </c>
      <c r="R47" s="58">
        <v>2034</v>
      </c>
      <c r="S47" s="58">
        <v>2035</v>
      </c>
      <c r="T47" s="58">
        <v>2036</v>
      </c>
      <c r="U47" s="58">
        <v>2037</v>
      </c>
    </row>
    <row r="48" spans="1:21" x14ac:dyDescent="0.25">
      <c r="A48" s="22" t="str" cm="1">
        <f t="array" ref="A48:A50">growth_scenarios</f>
        <v>Low growth scenario</v>
      </c>
      <c r="B48" s="5">
        <f>ITU!D$8</f>
        <v>378786450</v>
      </c>
      <c r="C48" s="5">
        <f>ITU!E$8</f>
        <v>221337200</v>
      </c>
      <c r="D48" s="5">
        <f>ITU!F$8</f>
        <v>154762500</v>
      </c>
      <c r="E48" s="5">
        <f>ITU!G$8</f>
        <v>72205760</v>
      </c>
      <c r="F48" s="5">
        <f>E48*(1+$B$4)</f>
        <v>71844731.200000003</v>
      </c>
      <c r="G48" s="5">
        <f t="shared" ref="G48" si="182">F48*(1+$B$4)</f>
        <v>71485507.544</v>
      </c>
      <c r="H48" s="5">
        <f t="shared" ref="H48" si="183">G48*(1+$B$4)</f>
        <v>71128080.006280005</v>
      </c>
      <c r="I48" s="5">
        <f t="shared" ref="I48" si="184">H48*(1+$B$4)</f>
        <v>70772439.606248602</v>
      </c>
      <c r="J48" s="5">
        <f t="shared" ref="J48" si="185">I48*(1+$B$4)</f>
        <v>70418577.408217356</v>
      </c>
      <c r="K48" s="5">
        <f t="shared" ref="K48" si="186">J48*(1+$B$4)</f>
        <v>70066484.521176264</v>
      </c>
      <c r="L48" s="5">
        <f t="shared" ref="L48" si="187">K48*(1+$B$4)</f>
        <v>69716152.098570377</v>
      </c>
      <c r="M48" s="5">
        <f t="shared" ref="M48" si="188">L48*(1+$B$4)</f>
        <v>69367571.33807753</v>
      </c>
      <c r="N48" s="5">
        <f t="shared" ref="N48" si="189">M48*(1+$B$4)</f>
        <v>69020733.481387138</v>
      </c>
      <c r="O48" s="5">
        <f t="shared" ref="O48" si="190">N48*(1+$B$4)</f>
        <v>68675629.813980207</v>
      </c>
      <c r="P48" s="5">
        <f t="shared" ref="P48" si="191">O48*(1+$B$4)</f>
        <v>68332251.664910302</v>
      </c>
      <c r="Q48" s="5">
        <f t="shared" ref="Q48" si="192">P48*(1+$B$4)</f>
        <v>67990590.406585753</v>
      </c>
      <c r="R48" s="5">
        <f t="shared" ref="R48" si="193">Q48*(1+$B$4)</f>
        <v>67650637.454552829</v>
      </c>
      <c r="S48" s="5">
        <f t="shared" ref="S48" si="194">R48*(1+$B$4)</f>
        <v>67312384.267280072</v>
      </c>
      <c r="T48" s="5">
        <f t="shared" ref="T48" si="195">S48*(1+$B$4)</f>
        <v>66975822.345943674</v>
      </c>
      <c r="U48" s="5">
        <f t="shared" ref="U48" si="196">T48*(1+$B$4)</f>
        <v>66640943.234213956</v>
      </c>
    </row>
    <row r="49" spans="1:21" x14ac:dyDescent="0.25">
      <c r="A49" s="22" t="str">
        <v>Medium growth scenario</v>
      </c>
      <c r="B49" s="5">
        <f>ITU!D$8</f>
        <v>378786450</v>
      </c>
      <c r="C49" s="5">
        <f>ITU!E$8</f>
        <v>221337200</v>
      </c>
      <c r="D49" s="5">
        <f>ITU!F$8</f>
        <v>154762500</v>
      </c>
      <c r="E49" s="5">
        <f>ITU!G$8</f>
        <v>72205760</v>
      </c>
      <c r="F49" s="5">
        <f>E49*(1+$B$5)</f>
        <v>72205760</v>
      </c>
      <c r="G49" s="5">
        <f t="shared" ref="G49" si="197">F49*(1+$B$5)</f>
        <v>72205760</v>
      </c>
      <c r="H49" s="5">
        <f t="shared" ref="H49" si="198">G49*(1+$B$5)</f>
        <v>72205760</v>
      </c>
      <c r="I49" s="5">
        <f t="shared" ref="I49" si="199">H49*(1+$B$5)</f>
        <v>72205760</v>
      </c>
      <c r="J49" s="5">
        <f t="shared" ref="J49" si="200">I49*(1+$B$5)</f>
        <v>72205760</v>
      </c>
      <c r="K49" s="5">
        <f t="shared" ref="K49" si="201">J49*(1+$B$5)</f>
        <v>72205760</v>
      </c>
      <c r="L49" s="5">
        <f t="shared" ref="L49" si="202">K49*(1+$B$5)</f>
        <v>72205760</v>
      </c>
      <c r="M49" s="5">
        <f t="shared" ref="M49" si="203">L49*(1+$B$5)</f>
        <v>72205760</v>
      </c>
      <c r="N49" s="5">
        <f t="shared" ref="N49" si="204">M49*(1+$B$5)</f>
        <v>72205760</v>
      </c>
      <c r="O49" s="5">
        <f t="shared" ref="O49" si="205">N49*(1+$B$5)</f>
        <v>72205760</v>
      </c>
      <c r="P49" s="5">
        <f t="shared" ref="P49" si="206">O49*(1+$B$5)</f>
        <v>72205760</v>
      </c>
      <c r="Q49" s="5">
        <f t="shared" ref="Q49" si="207">P49*(1+$B$5)</f>
        <v>72205760</v>
      </c>
      <c r="R49" s="5">
        <f t="shared" ref="R49" si="208">Q49*(1+$B$5)</f>
        <v>72205760</v>
      </c>
      <c r="S49" s="5">
        <f t="shared" ref="S49" si="209">R49*(1+$B$5)</f>
        <v>72205760</v>
      </c>
      <c r="T49" s="5">
        <f t="shared" ref="T49" si="210">S49*(1+$B$5)</f>
        <v>72205760</v>
      </c>
      <c r="U49" s="5">
        <f t="shared" ref="U49" si="211">T49*(1+$B$5)</f>
        <v>72205760</v>
      </c>
    </row>
    <row r="50" spans="1:21" x14ac:dyDescent="0.25">
      <c r="A50" s="22" t="str">
        <v>High growth scenario</v>
      </c>
      <c r="B50" s="5">
        <f>ITU!D$8</f>
        <v>378786450</v>
      </c>
      <c r="C50" s="5">
        <f>ITU!E$8</f>
        <v>221337200</v>
      </c>
      <c r="D50" s="5">
        <f>ITU!F$8</f>
        <v>154762500</v>
      </c>
      <c r="E50" s="5">
        <f>ITU!G$8</f>
        <v>72205760</v>
      </c>
      <c r="F50" s="5">
        <f>E50*(1+$B$6)</f>
        <v>72566788.799999997</v>
      </c>
      <c r="G50" s="5">
        <f t="shared" ref="G50" si="212">F50*(1+$B$6)</f>
        <v>72929622.743999988</v>
      </c>
      <c r="H50" s="5">
        <f t="shared" ref="H50" si="213">G50*(1+$B$6)</f>
        <v>73294270.857719973</v>
      </c>
      <c r="I50" s="5">
        <f t="shared" ref="I50" si="214">H50*(1+$B$6)</f>
        <v>73660742.212008566</v>
      </c>
      <c r="J50" s="5">
        <f t="shared" ref="J50" si="215">I50*(1+$B$6)</f>
        <v>74029045.923068598</v>
      </c>
      <c r="K50" s="5">
        <f t="shared" ref="K50" si="216">J50*(1+$B$6)</f>
        <v>74399191.152683929</v>
      </c>
      <c r="L50" s="5">
        <f t="shared" ref="L50" si="217">K50*(1+$B$6)</f>
        <v>74771187.108447343</v>
      </c>
      <c r="M50" s="5">
        <f t="shared" ref="M50" si="218">L50*(1+$B$6)</f>
        <v>75145043.043989569</v>
      </c>
      <c r="N50" s="5">
        <f t="shared" ref="N50" si="219">M50*(1+$B$6)</f>
        <v>75520768.259209514</v>
      </c>
      <c r="O50" s="5">
        <f t="shared" ref="O50" si="220">N50*(1+$B$6)</f>
        <v>75898372.100505561</v>
      </c>
      <c r="P50" s="5">
        <f t="shared" ref="P50" si="221">O50*(1+$B$6)</f>
        <v>76277863.961008087</v>
      </c>
      <c r="Q50" s="5">
        <f t="shared" ref="Q50" si="222">P50*(1+$B$6)</f>
        <v>76659253.280813113</v>
      </c>
      <c r="R50" s="5">
        <f t="shared" ref="R50" si="223">Q50*(1+$B$6)</f>
        <v>77042549.547217175</v>
      </c>
      <c r="S50" s="5">
        <f t="shared" ref="S50" si="224">R50*(1+$B$6)</f>
        <v>77427762.294953257</v>
      </c>
      <c r="T50" s="5">
        <f t="shared" ref="T50" si="225">S50*(1+$B$6)</f>
        <v>77814901.106428012</v>
      </c>
      <c r="U50" s="5">
        <f t="shared" ref="U50" si="226">T50*(1+$B$6)</f>
        <v>78203975.611960143</v>
      </c>
    </row>
    <row r="52" spans="1:21" x14ac:dyDescent="0.25">
      <c r="A52" s="54" t="str">
        <f>ITU!A9</f>
        <v>International outgoing fixed telephone traffic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</row>
    <row r="53" spans="1:21" x14ac:dyDescent="0.25">
      <c r="A53" s="26"/>
    </row>
    <row r="54" spans="1:21" x14ac:dyDescent="0.25">
      <c r="A54" s="236"/>
      <c r="B54" s="58" cm="1">
        <f t="array" ref="B54:U54">years</f>
        <v>2018</v>
      </c>
      <c r="C54" s="58">
        <v>2019</v>
      </c>
      <c r="D54" s="58">
        <v>2020</v>
      </c>
      <c r="E54" s="58">
        <v>2021</v>
      </c>
      <c r="F54" s="58">
        <v>2022</v>
      </c>
      <c r="G54" s="58">
        <v>2023</v>
      </c>
      <c r="H54" s="58">
        <v>2024</v>
      </c>
      <c r="I54" s="58">
        <v>2025</v>
      </c>
      <c r="J54" s="58">
        <v>2026</v>
      </c>
      <c r="K54" s="58">
        <v>2027</v>
      </c>
      <c r="L54" s="58">
        <v>2028</v>
      </c>
      <c r="M54" s="58">
        <v>2029</v>
      </c>
      <c r="N54" s="58">
        <v>2030</v>
      </c>
      <c r="O54" s="58">
        <v>2031</v>
      </c>
      <c r="P54" s="58">
        <v>2032</v>
      </c>
      <c r="Q54" s="58">
        <v>2033</v>
      </c>
      <c r="R54" s="58">
        <v>2034</v>
      </c>
      <c r="S54" s="58">
        <v>2035</v>
      </c>
      <c r="T54" s="58">
        <v>2036</v>
      </c>
      <c r="U54" s="58">
        <v>2037</v>
      </c>
    </row>
    <row r="55" spans="1:21" x14ac:dyDescent="0.25">
      <c r="A55" s="22" t="str" cm="1">
        <f t="array" ref="A55:A57">growth_scenarios</f>
        <v>Low growth scenario</v>
      </c>
      <c r="B55" s="5">
        <f>ITU!D$9</f>
        <v>374236800</v>
      </c>
      <c r="C55" s="5">
        <f>ITU!E$9</f>
        <v>111742120</v>
      </c>
      <c r="D55" s="5">
        <f>ITU!F$9</f>
        <v>122423250</v>
      </c>
      <c r="E55" s="5">
        <f>ITU!G$9</f>
        <v>103893760</v>
      </c>
      <c r="F55" s="5">
        <f>E55*(1+$B$4)</f>
        <v>103374291.2</v>
      </c>
      <c r="G55" s="5">
        <f t="shared" ref="G55" si="227">F55*(1+$B$4)</f>
        <v>102857419.744</v>
      </c>
      <c r="H55" s="5">
        <f t="shared" ref="H55" si="228">G55*(1+$B$4)</f>
        <v>102343132.64528</v>
      </c>
      <c r="I55" s="5">
        <f t="shared" ref="I55" si="229">H55*(1+$B$4)</f>
        <v>101831416.98205361</v>
      </c>
      <c r="J55" s="5">
        <f t="shared" ref="J55" si="230">I55*(1+$B$4)</f>
        <v>101322259.89714333</v>
      </c>
      <c r="K55" s="5">
        <f t="shared" ref="K55" si="231">J55*(1+$B$4)</f>
        <v>100815648.59765762</v>
      </c>
      <c r="L55" s="5">
        <f t="shared" ref="L55" si="232">K55*(1+$B$4)</f>
        <v>100311570.35466933</v>
      </c>
      <c r="M55" s="5">
        <f t="shared" ref="M55" si="233">L55*(1+$B$4)</f>
        <v>99810012.502895981</v>
      </c>
      <c r="N55" s="5">
        <f t="shared" ref="N55" si="234">M55*(1+$B$4)</f>
        <v>99310962.440381497</v>
      </c>
      <c r="O55" s="5">
        <f t="shared" ref="O55" si="235">N55*(1+$B$4)</f>
        <v>98814407.628179595</v>
      </c>
      <c r="P55" s="5">
        <f t="shared" ref="P55" si="236">O55*(1+$B$4)</f>
        <v>98320335.590038702</v>
      </c>
      <c r="Q55" s="5">
        <f t="shared" ref="Q55" si="237">P55*(1+$B$4)</f>
        <v>97828733.912088513</v>
      </c>
      <c r="R55" s="5">
        <f t="shared" ref="R55" si="238">Q55*(1+$B$4)</f>
        <v>97339590.242528066</v>
      </c>
      <c r="S55" s="5">
        <f t="shared" ref="S55" si="239">R55*(1+$B$4)</f>
        <v>96852892.291315421</v>
      </c>
      <c r="T55" s="5">
        <f t="shared" ref="T55" si="240">S55*(1+$B$4)</f>
        <v>96368627.82985884</v>
      </c>
      <c r="U55" s="5">
        <f t="shared" ref="U55" si="241">T55*(1+$B$4)</f>
        <v>95886784.690709546</v>
      </c>
    </row>
    <row r="56" spans="1:21" x14ac:dyDescent="0.25">
      <c r="A56" s="22" t="str">
        <v>Medium growth scenario</v>
      </c>
      <c r="B56" s="5">
        <f>ITU!D$9</f>
        <v>374236800</v>
      </c>
      <c r="C56" s="5">
        <f>ITU!E$9</f>
        <v>111742120</v>
      </c>
      <c r="D56" s="5">
        <f>ITU!F$9</f>
        <v>122423250</v>
      </c>
      <c r="E56" s="5">
        <f>ITU!G$9</f>
        <v>103893760</v>
      </c>
      <c r="F56" s="5">
        <f>E56*(1+$B$5)</f>
        <v>103893760</v>
      </c>
      <c r="G56" s="5">
        <f t="shared" ref="G56" si="242">F56*(1+$B$5)</f>
        <v>103893760</v>
      </c>
      <c r="H56" s="5">
        <f t="shared" ref="H56" si="243">G56*(1+$B$5)</f>
        <v>103893760</v>
      </c>
      <c r="I56" s="5">
        <f t="shared" ref="I56" si="244">H56*(1+$B$5)</f>
        <v>103893760</v>
      </c>
      <c r="J56" s="5">
        <f t="shared" ref="J56" si="245">I56*(1+$B$5)</f>
        <v>103893760</v>
      </c>
      <c r="K56" s="5">
        <f t="shared" ref="K56" si="246">J56*(1+$B$5)</f>
        <v>103893760</v>
      </c>
      <c r="L56" s="5">
        <f t="shared" ref="L56" si="247">K56*(1+$B$5)</f>
        <v>103893760</v>
      </c>
      <c r="M56" s="5">
        <f t="shared" ref="M56" si="248">L56*(1+$B$5)</f>
        <v>103893760</v>
      </c>
      <c r="N56" s="5">
        <f t="shared" ref="N56" si="249">M56*(1+$B$5)</f>
        <v>103893760</v>
      </c>
      <c r="O56" s="5">
        <f t="shared" ref="O56" si="250">N56*(1+$B$5)</f>
        <v>103893760</v>
      </c>
      <c r="P56" s="5">
        <f t="shared" ref="P56" si="251">O56*(1+$B$5)</f>
        <v>103893760</v>
      </c>
      <c r="Q56" s="5">
        <f t="shared" ref="Q56" si="252">P56*(1+$B$5)</f>
        <v>103893760</v>
      </c>
      <c r="R56" s="5">
        <f t="shared" ref="R56" si="253">Q56*(1+$B$5)</f>
        <v>103893760</v>
      </c>
      <c r="S56" s="5">
        <f t="shared" ref="S56" si="254">R56*(1+$B$5)</f>
        <v>103893760</v>
      </c>
      <c r="T56" s="5">
        <f t="shared" ref="T56" si="255">S56*(1+$B$5)</f>
        <v>103893760</v>
      </c>
      <c r="U56" s="5">
        <f t="shared" ref="U56" si="256">T56*(1+$B$5)</f>
        <v>103893760</v>
      </c>
    </row>
    <row r="57" spans="1:21" x14ac:dyDescent="0.25">
      <c r="A57" s="22" t="str">
        <v>High growth scenario</v>
      </c>
      <c r="B57" s="5">
        <f>ITU!D$9</f>
        <v>374236800</v>
      </c>
      <c r="C57" s="5">
        <f>ITU!E$9</f>
        <v>111742120</v>
      </c>
      <c r="D57" s="5">
        <f>ITU!F$9</f>
        <v>122423250</v>
      </c>
      <c r="E57" s="5">
        <f>ITU!G$9</f>
        <v>103893760</v>
      </c>
      <c r="F57" s="5">
        <f>E57*(1+$B$6)</f>
        <v>104413228.79999998</v>
      </c>
      <c r="G57" s="5">
        <f t="shared" ref="G57" si="257">F57*(1+$B$6)</f>
        <v>104935294.94399998</v>
      </c>
      <c r="H57" s="5">
        <f t="shared" ref="H57" si="258">G57*(1+$B$6)</f>
        <v>105459971.41871996</v>
      </c>
      <c r="I57" s="5">
        <f t="shared" ref="I57" si="259">H57*(1+$B$6)</f>
        <v>105987271.27581355</v>
      </c>
      <c r="J57" s="5">
        <f t="shared" ref="J57" si="260">I57*(1+$B$6)</f>
        <v>106517207.63219261</v>
      </c>
      <c r="K57" s="5">
        <f t="shared" ref="K57" si="261">J57*(1+$B$6)</f>
        <v>107049793.67035356</v>
      </c>
      <c r="L57" s="5">
        <f t="shared" ref="L57" si="262">K57*(1+$B$6)</f>
        <v>107585042.63870531</v>
      </c>
      <c r="M57" s="5">
        <f t="shared" ref="M57" si="263">L57*(1+$B$6)</f>
        <v>108122967.85189883</v>
      </c>
      <c r="N57" s="5">
        <f t="shared" ref="N57" si="264">M57*(1+$B$6)</f>
        <v>108663582.69115831</v>
      </c>
      <c r="O57" s="5">
        <f t="shared" ref="O57" si="265">N57*(1+$B$6)</f>
        <v>109206900.60461409</v>
      </c>
      <c r="P57" s="5">
        <f t="shared" ref="P57" si="266">O57*(1+$B$6)</f>
        <v>109752935.10763715</v>
      </c>
      <c r="Q57" s="5">
        <f t="shared" ref="Q57" si="267">P57*(1+$B$6)</f>
        <v>110301699.78317532</v>
      </c>
      <c r="R57" s="5">
        <f t="shared" ref="R57" si="268">Q57*(1+$B$6)</f>
        <v>110853208.28209119</v>
      </c>
      <c r="S57" s="5">
        <f t="shared" ref="S57" si="269">R57*(1+$B$6)</f>
        <v>111407474.32350163</v>
      </c>
      <c r="T57" s="5">
        <f t="shared" ref="T57" si="270">S57*(1+$B$6)</f>
        <v>111964511.69511913</v>
      </c>
      <c r="U57" s="5">
        <f t="shared" ref="U57" si="271">T57*(1+$B$6)</f>
        <v>112524334.25359471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682D-F597-43EA-968D-37EBA0DD5FB1}">
  <dimension ref="A2:H93"/>
  <sheetViews>
    <sheetView workbookViewId="0">
      <selection activeCell="I85" sqref="I85"/>
    </sheetView>
  </sheetViews>
  <sheetFormatPr defaultColWidth="15.7109375" defaultRowHeight="15" x14ac:dyDescent="0.25"/>
  <cols>
    <col min="1" max="1" width="60.7109375" style="44" customWidth="1"/>
    <col min="2" max="4" width="19.28515625" style="17" bestFit="1" customWidth="1"/>
    <col min="5" max="5" width="19.42578125" style="17" bestFit="1" customWidth="1"/>
    <col min="6" max="6" width="19.28515625" style="17" bestFit="1" customWidth="1"/>
    <col min="7" max="7" width="17.28515625" style="17" bestFit="1" customWidth="1"/>
    <col min="8" max="16384" width="15.7109375" style="17"/>
  </cols>
  <sheetData>
    <row r="2" spans="1:7" ht="18.75" x14ac:dyDescent="0.3">
      <c r="A2" s="61" t="s">
        <v>208</v>
      </c>
    </row>
    <row r="3" spans="1:7" x14ac:dyDescent="0.25">
      <c r="A3" s="62"/>
    </row>
    <row r="4" spans="1:7" x14ac:dyDescent="0.25">
      <c r="A4" s="73" t="s">
        <v>209</v>
      </c>
    </row>
    <row r="5" spans="1:7" x14ac:dyDescent="0.25">
      <c r="A5" s="63"/>
    </row>
    <row r="6" spans="1:7" ht="30" x14ac:dyDescent="0.25">
      <c r="A6" s="166" t="s">
        <v>210</v>
      </c>
    </row>
    <row r="8" spans="1:7" x14ac:dyDescent="0.25">
      <c r="A8" s="62" t="s">
        <v>211</v>
      </c>
      <c r="B8" s="17" t="s">
        <v>212</v>
      </c>
    </row>
    <row r="9" spans="1:7" x14ac:dyDescent="0.25">
      <c r="A9" s="60"/>
      <c r="B9" s="58"/>
      <c r="C9" s="224">
        <v>2018</v>
      </c>
      <c r="D9" s="224">
        <v>2019</v>
      </c>
      <c r="E9" s="224">
        <v>2020</v>
      </c>
      <c r="F9" s="224">
        <v>2021</v>
      </c>
      <c r="G9" s="64"/>
    </row>
    <row r="10" spans="1:7" x14ac:dyDescent="0.25">
      <c r="A10" s="36" t="s">
        <v>213</v>
      </c>
      <c r="B10" s="74"/>
      <c r="C10" s="74">
        <v>187587374843</v>
      </c>
      <c r="D10" s="74">
        <v>194284132172</v>
      </c>
      <c r="E10" s="74">
        <v>201254592538</v>
      </c>
      <c r="F10" s="74">
        <v>200250923462</v>
      </c>
    </row>
    <row r="11" spans="1:7" x14ac:dyDescent="0.25">
      <c r="A11" s="36" t="s">
        <v>214</v>
      </c>
      <c r="B11" s="74"/>
      <c r="C11" s="74">
        <v>99569265222</v>
      </c>
      <c r="D11" s="74">
        <v>98071800081</v>
      </c>
      <c r="E11" s="74">
        <v>105670253917</v>
      </c>
      <c r="F11" s="74">
        <v>113945854241</v>
      </c>
    </row>
    <row r="12" spans="1:7" x14ac:dyDescent="0.25">
      <c r="A12" s="36" t="s">
        <v>215</v>
      </c>
      <c r="B12" s="74"/>
      <c r="C12" s="74">
        <v>57011037623</v>
      </c>
      <c r="D12" s="74">
        <v>58768274771</v>
      </c>
      <c r="E12" s="74">
        <v>62165693130</v>
      </c>
      <c r="F12" s="74">
        <v>56294725060</v>
      </c>
    </row>
    <row r="13" spans="1:7" x14ac:dyDescent="0.25">
      <c r="A13" s="36" t="s">
        <v>216</v>
      </c>
      <c r="B13" s="74"/>
      <c r="C13" s="74">
        <v>19078304740</v>
      </c>
      <c r="D13" s="74">
        <v>26790096707</v>
      </c>
      <c r="E13" s="74">
        <v>25335440726</v>
      </c>
      <c r="F13" s="74">
        <v>23493901812</v>
      </c>
    </row>
    <row r="14" spans="1:7" x14ac:dyDescent="0.25">
      <c r="A14" s="36" t="s">
        <v>217</v>
      </c>
      <c r="B14" s="74"/>
      <c r="C14" s="74">
        <v>11928767258</v>
      </c>
      <c r="D14" s="74">
        <v>10653960614</v>
      </c>
      <c r="E14" s="74">
        <v>8083204765</v>
      </c>
      <c r="F14" s="74">
        <v>6516442350</v>
      </c>
    </row>
    <row r="17" spans="1:7" x14ac:dyDescent="0.25">
      <c r="A17" s="62" t="s">
        <v>218</v>
      </c>
      <c r="B17" s="17" t="s">
        <v>219</v>
      </c>
    </row>
    <row r="18" spans="1:7" x14ac:dyDescent="0.25">
      <c r="A18" s="60"/>
      <c r="B18" s="59"/>
      <c r="C18" s="223">
        <v>2018</v>
      </c>
      <c r="D18" s="223">
        <v>2019</v>
      </c>
      <c r="E18" s="223">
        <v>2020</v>
      </c>
      <c r="F18" s="223">
        <v>2021</v>
      </c>
    </row>
    <row r="19" spans="1:7" x14ac:dyDescent="0.25">
      <c r="A19" s="36" t="s">
        <v>214</v>
      </c>
      <c r="B19" s="74"/>
      <c r="C19" s="74">
        <v>99569265222</v>
      </c>
      <c r="D19" s="75">
        <v>98071800081</v>
      </c>
      <c r="E19" s="74">
        <v>105670253917</v>
      </c>
      <c r="F19" s="74">
        <v>113945854241</v>
      </c>
    </row>
    <row r="20" spans="1:7" x14ac:dyDescent="0.25">
      <c r="A20" s="36" t="s">
        <v>220</v>
      </c>
      <c r="B20" s="74"/>
      <c r="C20" s="74">
        <v>47068742797</v>
      </c>
      <c r="D20" s="75">
        <v>40124141859</v>
      </c>
      <c r="E20" s="74">
        <v>48071241971</v>
      </c>
      <c r="F20" s="74">
        <v>53128234464</v>
      </c>
    </row>
    <row r="21" spans="1:7" x14ac:dyDescent="0.25">
      <c r="A21" s="36" t="s">
        <v>221</v>
      </c>
      <c r="B21" s="74"/>
      <c r="C21" s="74">
        <v>43756195020</v>
      </c>
      <c r="D21" s="75">
        <v>36247358086</v>
      </c>
      <c r="E21" s="74">
        <v>35143659167</v>
      </c>
      <c r="F21" s="74">
        <v>36101920184</v>
      </c>
    </row>
    <row r="22" spans="1:7" x14ac:dyDescent="0.25">
      <c r="A22" s="36" t="s">
        <v>222</v>
      </c>
      <c r="B22" s="74"/>
      <c r="C22" s="74">
        <v>4587185489</v>
      </c>
      <c r="D22" s="75">
        <v>18506714023</v>
      </c>
      <c r="E22" s="74">
        <v>16198912702</v>
      </c>
      <c r="F22" s="74">
        <v>18256374065</v>
      </c>
    </row>
    <row r="23" spans="1:7" x14ac:dyDescent="0.25">
      <c r="A23" s="36" t="s">
        <v>223</v>
      </c>
      <c r="B23" s="74"/>
      <c r="C23" s="74">
        <v>3957858068</v>
      </c>
      <c r="D23" s="75">
        <v>2542494484</v>
      </c>
      <c r="E23" s="74">
        <v>2767430165</v>
      </c>
      <c r="F23" s="76">
        <v>3644150398</v>
      </c>
    </row>
    <row r="24" spans="1:7" x14ac:dyDescent="0.25">
      <c r="A24" s="36" t="s">
        <v>224</v>
      </c>
      <c r="B24" s="74"/>
      <c r="C24" s="74">
        <v>199283848</v>
      </c>
      <c r="D24" s="75">
        <v>651091629</v>
      </c>
      <c r="E24" s="75">
        <v>2489009912</v>
      </c>
      <c r="F24" s="74">
        <v>2815175130</v>
      </c>
      <c r="G24" s="65"/>
    </row>
    <row r="25" spans="1:7" x14ac:dyDescent="0.25">
      <c r="E25" s="65"/>
    </row>
    <row r="26" spans="1:7" x14ac:dyDescent="0.25">
      <c r="D26" s="65"/>
      <c r="E26" s="65"/>
    </row>
    <row r="27" spans="1:7" x14ac:dyDescent="0.25">
      <c r="A27" s="62" t="s">
        <v>225</v>
      </c>
      <c r="B27" s="17" t="s">
        <v>226</v>
      </c>
      <c r="D27" s="65"/>
      <c r="E27" s="65"/>
    </row>
    <row r="28" spans="1:7" x14ac:dyDescent="0.25">
      <c r="A28" s="60"/>
      <c r="B28" s="58"/>
      <c r="C28" s="224">
        <v>2018</v>
      </c>
      <c r="D28" s="224">
        <v>2019</v>
      </c>
      <c r="E28" s="224">
        <v>2020</v>
      </c>
      <c r="F28" s="224">
        <v>2021</v>
      </c>
    </row>
    <row r="29" spans="1:7" x14ac:dyDescent="0.25">
      <c r="A29" s="36" t="s">
        <v>216</v>
      </c>
      <c r="B29" s="74"/>
      <c r="C29" s="74">
        <v>19078304740</v>
      </c>
      <c r="D29" s="74">
        <v>26790096707</v>
      </c>
      <c r="E29" s="74">
        <v>25335440726</v>
      </c>
      <c r="F29" s="74">
        <v>23493901812</v>
      </c>
    </row>
    <row r="30" spans="1:7" x14ac:dyDescent="0.25">
      <c r="A30" s="36" t="s">
        <v>227</v>
      </c>
      <c r="B30" s="74"/>
      <c r="C30" s="74">
        <v>11003085498</v>
      </c>
      <c r="D30" s="74">
        <v>13918376242</v>
      </c>
      <c r="E30" s="74">
        <v>13540003128</v>
      </c>
      <c r="F30" s="74">
        <v>13262951804</v>
      </c>
    </row>
    <row r="31" spans="1:7" x14ac:dyDescent="0.25">
      <c r="A31" s="36" t="s">
        <v>228</v>
      </c>
      <c r="B31" s="74"/>
      <c r="C31" s="74">
        <v>1330783377</v>
      </c>
      <c r="D31" s="74">
        <v>6327818019</v>
      </c>
      <c r="E31" s="74">
        <v>5087844013</v>
      </c>
      <c r="F31" s="74">
        <v>4737468356</v>
      </c>
    </row>
    <row r="32" spans="1:7" ht="30" x14ac:dyDescent="0.25">
      <c r="A32" s="36" t="s">
        <v>229</v>
      </c>
      <c r="B32" s="74"/>
      <c r="C32" s="74">
        <v>4875143271</v>
      </c>
      <c r="D32" s="74">
        <v>3791726468</v>
      </c>
      <c r="E32" s="74">
        <v>4254204570</v>
      </c>
      <c r="F32" s="74">
        <v>4195979416</v>
      </c>
    </row>
    <row r="33" spans="1:6" x14ac:dyDescent="0.25">
      <c r="A33" s="36" t="s">
        <v>230</v>
      </c>
      <c r="B33" s="74"/>
      <c r="C33" s="74">
        <v>1869292594</v>
      </c>
      <c r="D33" s="74">
        <v>2752175978</v>
      </c>
      <c r="E33" s="74">
        <v>2453389014</v>
      </c>
      <c r="F33" s="74">
        <v>1297502236</v>
      </c>
    </row>
    <row r="36" spans="1:6" x14ac:dyDescent="0.25">
      <c r="A36" s="62" t="s">
        <v>231</v>
      </c>
      <c r="B36" s="17" t="s">
        <v>232</v>
      </c>
    </row>
    <row r="37" spans="1:6" x14ac:dyDescent="0.25">
      <c r="A37" s="36"/>
      <c r="B37" s="58"/>
      <c r="C37" s="224">
        <v>2018</v>
      </c>
      <c r="D37" s="224">
        <v>2019</v>
      </c>
      <c r="E37" s="224">
        <v>2020</v>
      </c>
      <c r="F37" s="224">
        <v>2021</v>
      </c>
    </row>
    <row r="38" spans="1:6" x14ac:dyDescent="0.25">
      <c r="A38" s="36" t="s">
        <v>233</v>
      </c>
      <c r="B38" s="74"/>
      <c r="C38" s="74">
        <v>11928767258</v>
      </c>
      <c r="D38" s="74">
        <v>10653960614</v>
      </c>
      <c r="E38" s="74">
        <v>8083204765</v>
      </c>
      <c r="F38" s="74">
        <v>6516442350</v>
      </c>
    </row>
    <row r="39" spans="1:6" x14ac:dyDescent="0.25">
      <c r="A39" s="36" t="s">
        <v>234</v>
      </c>
      <c r="B39" s="74"/>
      <c r="C39" s="74">
        <v>6595737290</v>
      </c>
      <c r="D39" s="74">
        <v>6103435777</v>
      </c>
      <c r="E39" s="74">
        <v>4575278396</v>
      </c>
      <c r="F39" s="74">
        <v>3517593998</v>
      </c>
    </row>
    <row r="40" spans="1:6" x14ac:dyDescent="0.25">
      <c r="A40" s="36" t="s">
        <v>235</v>
      </c>
      <c r="B40" s="74"/>
      <c r="C40" s="74">
        <v>5140231624</v>
      </c>
      <c r="D40" s="74">
        <v>4413373568</v>
      </c>
      <c r="E40" s="74">
        <v>3150430268</v>
      </c>
      <c r="F40" s="74">
        <v>2903360189</v>
      </c>
    </row>
    <row r="41" spans="1:6" x14ac:dyDescent="0.25">
      <c r="A41" s="36" t="s">
        <v>236</v>
      </c>
      <c r="B41" s="74"/>
      <c r="C41" s="74">
        <v>192798344</v>
      </c>
      <c r="D41" s="74">
        <v>137151269</v>
      </c>
      <c r="E41" s="74">
        <v>357496101</v>
      </c>
      <c r="F41" s="74">
        <v>95488163</v>
      </c>
    </row>
    <row r="44" spans="1:6" x14ac:dyDescent="0.25">
      <c r="A44" s="62" t="s">
        <v>237</v>
      </c>
      <c r="B44" s="17" t="s">
        <v>238</v>
      </c>
    </row>
    <row r="45" spans="1:6" x14ac:dyDescent="0.25">
      <c r="A45" s="60"/>
      <c r="B45" s="58"/>
      <c r="C45" s="224">
        <v>2018</v>
      </c>
      <c r="D45" s="224">
        <v>2019</v>
      </c>
      <c r="E45" s="224">
        <v>2020</v>
      </c>
      <c r="F45" s="224">
        <v>2021</v>
      </c>
    </row>
    <row r="46" spans="1:6" x14ac:dyDescent="0.25">
      <c r="A46" s="36" t="s">
        <v>239</v>
      </c>
      <c r="B46" s="74"/>
      <c r="C46" s="74">
        <v>27025173332</v>
      </c>
      <c r="D46" s="74">
        <v>38889588361</v>
      </c>
      <c r="E46" s="74">
        <v>27404561055</v>
      </c>
      <c r="F46" s="74">
        <v>27579347445</v>
      </c>
    </row>
    <row r="47" spans="1:6" x14ac:dyDescent="0.25">
      <c r="A47" s="36" t="s">
        <v>240</v>
      </c>
      <c r="B47" s="74"/>
      <c r="C47" s="74">
        <v>25746766590</v>
      </c>
      <c r="D47" s="74">
        <v>15985529092</v>
      </c>
      <c r="E47" s="74">
        <v>28798070479</v>
      </c>
      <c r="F47" s="74">
        <v>31157104593</v>
      </c>
    </row>
    <row r="48" spans="1:6" x14ac:dyDescent="0.25">
      <c r="A48" s="36" t="s">
        <v>241</v>
      </c>
      <c r="B48" s="74"/>
      <c r="C48" s="74">
        <v>1030798979</v>
      </c>
      <c r="D48" s="74">
        <v>693488985</v>
      </c>
      <c r="E48" s="74">
        <v>941977675</v>
      </c>
      <c r="F48" s="74">
        <v>877342773</v>
      </c>
    </row>
    <row r="51" spans="1:6" x14ac:dyDescent="0.25">
      <c r="A51" s="62" t="s">
        <v>242</v>
      </c>
    </row>
    <row r="52" spans="1:6" x14ac:dyDescent="0.25">
      <c r="A52" s="60"/>
      <c r="B52" s="58"/>
      <c r="C52" s="224">
        <v>2018</v>
      </c>
      <c r="D52" s="224">
        <v>2019</v>
      </c>
      <c r="E52" s="224">
        <v>2020</v>
      </c>
      <c r="F52" s="224">
        <v>2021</v>
      </c>
    </row>
    <row r="53" spans="1:6" x14ac:dyDescent="0.25">
      <c r="A53" s="36" t="s">
        <v>243</v>
      </c>
      <c r="B53" s="66"/>
      <c r="C53" s="66">
        <v>0.995</v>
      </c>
      <c r="D53" s="66">
        <v>0.997</v>
      </c>
      <c r="E53" s="66">
        <v>0.998</v>
      </c>
      <c r="F53" s="66">
        <v>0.999</v>
      </c>
    </row>
    <row r="54" spans="1:6" x14ac:dyDescent="0.25">
      <c r="A54" s="36" t="s">
        <v>244</v>
      </c>
      <c r="B54" s="66"/>
      <c r="C54" s="66">
        <v>0.85699999999999998</v>
      </c>
      <c r="D54" s="66">
        <v>0.92800000000000005</v>
      </c>
      <c r="E54" s="66">
        <v>0.96399999999999997</v>
      </c>
      <c r="F54" s="66">
        <v>0.97699999999999998</v>
      </c>
    </row>
    <row r="55" spans="1:6" x14ac:dyDescent="0.25">
      <c r="A55" s="36" t="s">
        <v>245</v>
      </c>
      <c r="B55" s="66"/>
      <c r="C55" s="66"/>
      <c r="D55" s="66"/>
      <c r="E55" s="66">
        <v>7.0000000000000001E-3</v>
      </c>
      <c r="F55" s="66">
        <v>7.4999999999999997E-2</v>
      </c>
    </row>
    <row r="56" spans="1:6" x14ac:dyDescent="0.25">
      <c r="A56" s="67"/>
    </row>
    <row r="57" spans="1:6" x14ac:dyDescent="0.25">
      <c r="A57" s="67"/>
    </row>
    <row r="58" spans="1:6" x14ac:dyDescent="0.25">
      <c r="A58" s="68" t="s">
        <v>246</v>
      </c>
      <c r="B58" s="17" t="s">
        <v>247</v>
      </c>
    </row>
    <row r="59" spans="1:6" x14ac:dyDescent="0.25">
      <c r="A59" s="37"/>
      <c r="B59" s="71"/>
      <c r="C59" s="224">
        <v>2018</v>
      </c>
      <c r="D59" s="224">
        <v>2019</v>
      </c>
      <c r="E59" s="224">
        <v>2020</v>
      </c>
      <c r="F59" s="224">
        <v>2021</v>
      </c>
    </row>
    <row r="60" spans="1:6" x14ac:dyDescent="0.25">
      <c r="A60" s="36" t="s">
        <v>248</v>
      </c>
      <c r="B60" s="22"/>
      <c r="C60" s="31">
        <v>91707731</v>
      </c>
      <c r="D60" s="31">
        <v>96972459</v>
      </c>
      <c r="E60" s="31">
        <v>94972459</v>
      </c>
      <c r="F60" s="31">
        <v>103167525</v>
      </c>
    </row>
    <row r="61" spans="1:6" x14ac:dyDescent="0.25">
      <c r="A61" s="37" t="s">
        <v>249</v>
      </c>
      <c r="B61" s="22"/>
      <c r="C61" s="31">
        <v>46904835</v>
      </c>
      <c r="D61" s="31">
        <v>53380748</v>
      </c>
      <c r="E61" s="31">
        <v>60438901</v>
      </c>
      <c r="F61" s="31">
        <v>65313134</v>
      </c>
    </row>
    <row r="62" spans="1:6" x14ac:dyDescent="0.25">
      <c r="A62" s="67"/>
    </row>
    <row r="63" spans="1:6" x14ac:dyDescent="0.25">
      <c r="A63" s="67"/>
    </row>
    <row r="64" spans="1:6" x14ac:dyDescent="0.25">
      <c r="A64" s="69" t="s">
        <v>250</v>
      </c>
      <c r="B64" s="17" t="s">
        <v>251</v>
      </c>
    </row>
    <row r="65" spans="1:8" x14ac:dyDescent="0.25">
      <c r="A65" s="37"/>
      <c r="B65" s="58"/>
      <c r="C65" s="224">
        <v>2018</v>
      </c>
      <c r="D65" s="224">
        <v>2019</v>
      </c>
      <c r="E65" s="224">
        <v>2020</v>
      </c>
      <c r="F65" s="224">
        <v>2021</v>
      </c>
    </row>
    <row r="66" spans="1:8" x14ac:dyDescent="0.25">
      <c r="A66" s="37" t="s">
        <v>252</v>
      </c>
      <c r="B66" s="31"/>
      <c r="C66" s="31">
        <v>91707731</v>
      </c>
      <c r="D66" s="31">
        <v>96972459</v>
      </c>
      <c r="E66" s="31">
        <v>94952509</v>
      </c>
      <c r="F66" s="31">
        <v>103167525</v>
      </c>
    </row>
    <row r="67" spans="1:8" x14ac:dyDescent="0.25">
      <c r="A67" s="36" t="s">
        <v>253</v>
      </c>
      <c r="B67" s="31"/>
      <c r="C67" s="31">
        <v>80436209</v>
      </c>
      <c r="D67" s="31">
        <v>82323854</v>
      </c>
      <c r="E67" s="31">
        <v>79419434</v>
      </c>
      <c r="F67" s="31">
        <v>86816228</v>
      </c>
    </row>
    <row r="68" spans="1:8" x14ac:dyDescent="0.25">
      <c r="A68" s="37" t="s">
        <v>254</v>
      </c>
      <c r="B68" s="31"/>
      <c r="C68" s="31">
        <v>11271522</v>
      </c>
      <c r="D68" s="31">
        <v>14648605</v>
      </c>
      <c r="E68" s="31">
        <v>15533075</v>
      </c>
      <c r="F68" s="31">
        <v>16351297</v>
      </c>
    </row>
    <row r="69" spans="1:8" x14ac:dyDescent="0.25">
      <c r="A69" s="67"/>
    </row>
    <row r="71" spans="1:8" ht="30" x14ac:dyDescent="0.25">
      <c r="A71" s="62" t="s">
        <v>255</v>
      </c>
      <c r="B71" s="17" t="s">
        <v>256</v>
      </c>
    </row>
    <row r="72" spans="1:8" x14ac:dyDescent="0.25">
      <c r="A72" s="60"/>
      <c r="B72" s="58"/>
      <c r="C72" s="224">
        <v>2018</v>
      </c>
      <c r="D72" s="224">
        <v>2019</v>
      </c>
      <c r="E72" s="224">
        <v>2020</v>
      </c>
      <c r="F72" s="224">
        <v>2021</v>
      </c>
      <c r="H72" s="26"/>
    </row>
    <row r="73" spans="1:8" x14ac:dyDescent="0.25">
      <c r="A73" s="36" t="s">
        <v>257</v>
      </c>
      <c r="B73" s="22"/>
      <c r="C73" s="22"/>
      <c r="D73" s="31">
        <v>53306152</v>
      </c>
      <c r="E73" s="31">
        <v>64151355</v>
      </c>
      <c r="F73" s="31">
        <v>64113022</v>
      </c>
      <c r="H73" s="70"/>
    </row>
    <row r="76" spans="1:8" x14ac:dyDescent="0.25">
      <c r="A76" s="62" t="s">
        <v>258</v>
      </c>
      <c r="B76" s="17" t="s">
        <v>259</v>
      </c>
    </row>
    <row r="77" spans="1:8" x14ac:dyDescent="0.25">
      <c r="A77" s="36"/>
      <c r="B77" s="58"/>
      <c r="C77" s="224">
        <v>2018</v>
      </c>
      <c r="D77" s="224">
        <v>2019</v>
      </c>
      <c r="E77" s="224">
        <v>2020</v>
      </c>
      <c r="F77" s="224">
        <v>2021</v>
      </c>
    </row>
    <row r="78" spans="1:8" x14ac:dyDescent="0.25">
      <c r="A78" s="36" t="s">
        <v>260</v>
      </c>
      <c r="B78" s="31"/>
      <c r="C78" s="31">
        <v>3869934</v>
      </c>
      <c r="D78" s="31">
        <v>3112717</v>
      </c>
      <c r="E78" s="31">
        <v>1492151</v>
      </c>
      <c r="F78" s="31">
        <v>1796364</v>
      </c>
    </row>
    <row r="79" spans="1:8" x14ac:dyDescent="0.25">
      <c r="A79" s="36" t="s">
        <v>261</v>
      </c>
      <c r="B79" s="31"/>
      <c r="C79" s="31">
        <v>1278728</v>
      </c>
      <c r="D79" s="31">
        <v>1647419</v>
      </c>
      <c r="E79" s="31">
        <v>1026002</v>
      </c>
      <c r="F79" s="31">
        <v>1379207</v>
      </c>
    </row>
    <row r="80" spans="1:8" x14ac:dyDescent="0.25">
      <c r="A80" s="36" t="s">
        <v>262</v>
      </c>
      <c r="B80" s="31"/>
      <c r="C80" s="31">
        <v>2521013</v>
      </c>
      <c r="D80" s="31">
        <v>1441292</v>
      </c>
      <c r="E80" s="31">
        <v>453771</v>
      </c>
      <c r="F80" s="31">
        <v>316825</v>
      </c>
    </row>
    <row r="81" spans="1:6" x14ac:dyDescent="0.25">
      <c r="A81" s="36" t="s">
        <v>263</v>
      </c>
      <c r="B81" s="31"/>
      <c r="C81" s="31">
        <v>70193</v>
      </c>
      <c r="D81" s="31">
        <v>24006</v>
      </c>
      <c r="E81" s="31">
        <v>12378</v>
      </c>
      <c r="F81" s="31">
        <v>100332</v>
      </c>
    </row>
    <row r="84" spans="1:6" ht="30" x14ac:dyDescent="0.25">
      <c r="A84" s="62" t="s">
        <v>264</v>
      </c>
      <c r="B84" s="17" t="s">
        <v>265</v>
      </c>
    </row>
    <row r="85" spans="1:6" x14ac:dyDescent="0.25">
      <c r="A85" s="36"/>
      <c r="B85" s="59"/>
      <c r="C85" s="224">
        <v>2018</v>
      </c>
      <c r="D85" s="224">
        <v>2019</v>
      </c>
      <c r="E85" s="224">
        <v>2020</v>
      </c>
      <c r="F85" s="224">
        <v>2021</v>
      </c>
    </row>
    <row r="86" spans="1:6" x14ac:dyDescent="0.25">
      <c r="A86" s="36" t="s">
        <v>266</v>
      </c>
      <c r="B86" s="31"/>
      <c r="C86" s="31">
        <v>5208521164</v>
      </c>
      <c r="D86" s="31">
        <v>6365441002</v>
      </c>
      <c r="E86" s="31">
        <v>4167973810</v>
      </c>
      <c r="F86" s="31">
        <v>3398520058</v>
      </c>
    </row>
    <row r="87" spans="1:6" x14ac:dyDescent="0.25">
      <c r="A87" s="36" t="s">
        <v>267</v>
      </c>
      <c r="B87" s="31"/>
      <c r="C87" s="31">
        <v>3139633506</v>
      </c>
      <c r="D87" s="31">
        <v>3833825566</v>
      </c>
      <c r="E87" s="31">
        <v>2607594305</v>
      </c>
      <c r="F87" s="31">
        <v>1869197103</v>
      </c>
    </row>
    <row r="88" spans="1:6" x14ac:dyDescent="0.25">
      <c r="A88" s="36" t="s">
        <v>268</v>
      </c>
      <c r="B88" s="31"/>
      <c r="C88" s="31">
        <v>2068887658</v>
      </c>
      <c r="D88" s="31">
        <v>2531615436</v>
      </c>
      <c r="E88" s="31">
        <v>1560379505</v>
      </c>
      <c r="F88" s="31">
        <v>1529322955</v>
      </c>
    </row>
    <row r="91" spans="1:6" x14ac:dyDescent="0.25">
      <c r="A91" s="62" t="s">
        <v>269</v>
      </c>
      <c r="B91" s="17" t="s">
        <v>270</v>
      </c>
    </row>
    <row r="92" spans="1:6" x14ac:dyDescent="0.25">
      <c r="A92" s="60"/>
      <c r="B92" s="58"/>
      <c r="C92" s="224">
        <v>2018</v>
      </c>
      <c r="D92" s="224">
        <v>2019</v>
      </c>
      <c r="E92" s="224">
        <v>2020</v>
      </c>
      <c r="F92" s="224">
        <v>2021</v>
      </c>
    </row>
    <row r="93" spans="1:6" x14ac:dyDescent="0.25">
      <c r="A93" s="60"/>
      <c r="B93" s="31"/>
      <c r="C93" s="31">
        <v>7802163843</v>
      </c>
      <c r="D93" s="31">
        <v>9387343330</v>
      </c>
      <c r="E93" s="31">
        <v>9005020193</v>
      </c>
      <c r="F93" s="31">
        <v>5912533086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10D4-F8D0-4F63-8218-8AFCA2C2BF71}">
  <dimension ref="A1:I24"/>
  <sheetViews>
    <sheetView workbookViewId="0">
      <selection sqref="A1:XFD1"/>
    </sheetView>
  </sheetViews>
  <sheetFormatPr defaultColWidth="8.7109375" defaultRowHeight="15" x14ac:dyDescent="0.25"/>
  <cols>
    <col min="1" max="1" width="60.7109375" style="17" customWidth="1"/>
    <col min="2" max="8" width="15.7109375" style="17" customWidth="1"/>
    <col min="9" max="9" width="60.7109375" style="17" customWidth="1"/>
    <col min="10" max="18" width="15.7109375" style="17" customWidth="1"/>
    <col min="19" max="19" width="8.7109375" style="17"/>
    <col min="20" max="20" width="45.7109375" style="17" customWidth="1"/>
    <col min="21" max="16384" width="8.7109375" style="17"/>
  </cols>
  <sheetData>
    <row r="1" spans="1:9" ht="18.75" x14ac:dyDescent="0.3">
      <c r="A1" s="56" t="s">
        <v>271</v>
      </c>
      <c r="B1" s="57"/>
    </row>
    <row r="2" spans="1:9" x14ac:dyDescent="0.25">
      <c r="A2" s="26"/>
    </row>
    <row r="3" spans="1:9" x14ac:dyDescent="0.25">
      <c r="A3" s="17" t="s">
        <v>272</v>
      </c>
      <c r="B3" s="24" t="s">
        <v>273</v>
      </c>
      <c r="I3" s="26"/>
    </row>
    <row r="5" spans="1:9" x14ac:dyDescent="0.25">
      <c r="A5" s="34"/>
      <c r="B5" s="35" t="s">
        <v>23</v>
      </c>
      <c r="C5" s="34">
        <v>2017</v>
      </c>
      <c r="D5" s="34">
        <v>2018</v>
      </c>
      <c r="E5" s="34">
        <v>2019</v>
      </c>
      <c r="F5" s="34">
        <v>2020</v>
      </c>
      <c r="G5" s="34">
        <v>2021</v>
      </c>
    </row>
    <row r="6" spans="1:9" x14ac:dyDescent="0.25">
      <c r="A6" s="34" t="s">
        <v>274</v>
      </c>
      <c r="B6" s="38" t="s">
        <v>126</v>
      </c>
      <c r="C6" s="31">
        <v>7035510000</v>
      </c>
      <c r="D6" s="31">
        <f>AVERAGE(C6,E6)</f>
        <v>7092368000</v>
      </c>
      <c r="E6" s="31">
        <f>5106590000*(1+I20)</f>
        <v>7149226000</v>
      </c>
      <c r="F6" s="31">
        <f>4438360000*(1+I22)</f>
        <v>6657540000</v>
      </c>
      <c r="G6" s="31">
        <f>3930380000*(1+I24)</f>
        <v>6288608000</v>
      </c>
    </row>
    <row r="7" spans="1:9" x14ac:dyDescent="0.25">
      <c r="A7" s="34" t="s">
        <v>275</v>
      </c>
      <c r="B7" s="38" t="s">
        <v>126</v>
      </c>
      <c r="C7" s="31"/>
      <c r="D7" s="31">
        <f>8144270000*(1+I18)</f>
        <v>8551483500</v>
      </c>
      <c r="E7" s="31">
        <f>5948320000*(1+I20)</f>
        <v>8327647999.999999</v>
      </c>
      <c r="F7" s="31">
        <f>6424540000*(1+I22)</f>
        <v>9636810000</v>
      </c>
      <c r="G7" s="31">
        <f>6026100000*(1+I24)</f>
        <v>9641760000</v>
      </c>
    </row>
    <row r="8" spans="1:9" x14ac:dyDescent="0.25">
      <c r="A8" s="34" t="s">
        <v>276</v>
      </c>
      <c r="B8" s="38" t="s">
        <v>126</v>
      </c>
      <c r="C8" s="31"/>
      <c r="D8" s="31">
        <f>360749000*(1+I18)</f>
        <v>378786450</v>
      </c>
      <c r="E8" s="31">
        <f>158098000*(1+I20)</f>
        <v>221337200</v>
      </c>
      <c r="F8" s="31">
        <f>103175000*(1+I22)</f>
        <v>154762500</v>
      </c>
      <c r="G8" s="31">
        <f>45128600*(1+I24)</f>
        <v>72205760</v>
      </c>
    </row>
    <row r="9" spans="1:9" x14ac:dyDescent="0.25">
      <c r="A9" s="34" t="s">
        <v>277</v>
      </c>
      <c r="B9" s="38" t="s">
        <v>126</v>
      </c>
      <c r="C9" s="31"/>
      <c r="D9" s="31">
        <f>356416000*(1+I18)</f>
        <v>374236800</v>
      </c>
      <c r="E9" s="31">
        <f>79815800*(1+I20)</f>
        <v>111742120</v>
      </c>
      <c r="F9" s="31">
        <f>81615500*(1+I22)</f>
        <v>122423250</v>
      </c>
      <c r="G9" s="31">
        <f>64933600*(1+I24)</f>
        <v>103893760</v>
      </c>
    </row>
    <row r="10" spans="1:9" x14ac:dyDescent="0.25">
      <c r="A10" s="34" t="s">
        <v>278</v>
      </c>
      <c r="B10" s="38" t="s">
        <v>126</v>
      </c>
      <c r="C10" s="31"/>
      <c r="D10" s="31">
        <f>717165000*(1+I18)</f>
        <v>753023250</v>
      </c>
      <c r="E10" s="31">
        <f>237914000*(1+I20)</f>
        <v>333079600</v>
      </c>
      <c r="F10" s="31">
        <f>184790000*(1+I22)</f>
        <v>277185000</v>
      </c>
      <c r="G10" s="31">
        <f>110062000*(1+I24)</f>
        <v>176099200</v>
      </c>
    </row>
    <row r="11" spans="1:9" x14ac:dyDescent="0.25">
      <c r="A11" s="34" t="s">
        <v>279</v>
      </c>
      <c r="B11" s="38" t="s">
        <v>126</v>
      </c>
      <c r="C11" s="31"/>
      <c r="D11" s="31">
        <f>2366640000*(1+I18)</f>
        <v>2484972000</v>
      </c>
      <c r="E11" s="31">
        <f>2463320000*(1+I20)</f>
        <v>3448648000</v>
      </c>
      <c r="F11" s="31">
        <f>2945570000*(1+I22)</f>
        <v>4418355000</v>
      </c>
      <c r="G11" s="31">
        <f>2744210000*(1+I24)</f>
        <v>4390736000</v>
      </c>
    </row>
    <row r="12" spans="1:9" x14ac:dyDescent="0.25">
      <c r="C12"/>
    </row>
    <row r="13" spans="1:9" x14ac:dyDescent="0.25">
      <c r="A13" s="26"/>
    </row>
    <row r="14" spans="1:9" x14ac:dyDescent="0.25">
      <c r="B14"/>
      <c r="C14" s="220"/>
      <c r="D14" s="220"/>
      <c r="E14" s="220"/>
      <c r="F14" s="218"/>
    </row>
    <row r="15" spans="1:9" ht="14.65" customHeight="1" x14ac:dyDescent="0.25">
      <c r="A15" s="2"/>
      <c r="B15" s="26"/>
      <c r="C15" s="218"/>
      <c r="D15" s="218"/>
      <c r="E15" s="218"/>
      <c r="F15" s="218"/>
    </row>
    <row r="16" spans="1:9" x14ac:dyDescent="0.25">
      <c r="C16" s="174" t="s">
        <v>280</v>
      </c>
      <c r="D16" s="173"/>
      <c r="E16" s="173"/>
      <c r="F16" s="173"/>
      <c r="G16" s="173"/>
      <c r="H16" s="173"/>
      <c r="I16" s="173"/>
    </row>
    <row r="17" spans="3:9" x14ac:dyDescent="0.25">
      <c r="C17" s="203"/>
      <c r="D17" s="203"/>
      <c r="E17" s="203"/>
      <c r="F17" s="203"/>
      <c r="G17" s="203"/>
      <c r="H17" s="203"/>
      <c r="I17" s="203"/>
    </row>
    <row r="18" spans="3:9" x14ac:dyDescent="0.25">
      <c r="C18" s="174" t="s">
        <v>281</v>
      </c>
      <c r="D18" s="167"/>
      <c r="E18" s="167"/>
      <c r="F18" s="167"/>
      <c r="G18" s="167"/>
      <c r="H18" s="167"/>
      <c r="I18" s="9">
        <v>0.05</v>
      </c>
    </row>
    <row r="20" spans="3:9" x14ac:dyDescent="0.25">
      <c r="C20" s="174" t="s">
        <v>282</v>
      </c>
      <c r="D20" s="173"/>
      <c r="E20" s="173"/>
      <c r="F20" s="173"/>
      <c r="G20" s="173"/>
      <c r="H20" s="173"/>
      <c r="I20" s="9">
        <v>0.4</v>
      </c>
    </row>
    <row r="22" spans="3:9" x14ac:dyDescent="0.25">
      <c r="C22" s="174" t="s">
        <v>282</v>
      </c>
      <c r="D22" s="173"/>
      <c r="E22" s="173"/>
      <c r="F22" s="173"/>
      <c r="G22" s="173"/>
      <c r="H22" s="173"/>
      <c r="I22" s="9">
        <v>0.5</v>
      </c>
    </row>
    <row r="24" spans="3:9" x14ac:dyDescent="0.25">
      <c r="C24" s="174" t="s">
        <v>283</v>
      </c>
      <c r="D24" s="167"/>
      <c r="E24" s="167"/>
      <c r="F24" s="167"/>
      <c r="G24" s="167"/>
      <c r="H24" s="167"/>
      <c r="I24" s="9">
        <v>0.6</v>
      </c>
    </row>
  </sheetData>
  <hyperlinks>
    <hyperlink ref="B3" r:id="rId1" xr:uid="{48C04EA8-64FE-482B-8C23-870E2ABC9F98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89FC-879E-4E94-B95D-DFA39955FFEF}">
  <sheetPr>
    <tabColor theme="3" tint="0.79998168889431442"/>
  </sheetPr>
  <dimension ref="B2"/>
  <sheetViews>
    <sheetView workbookViewId="0">
      <selection activeCell="B6" sqref="B6"/>
    </sheetView>
  </sheetViews>
  <sheetFormatPr defaultColWidth="8.5703125" defaultRowHeight="15" x14ac:dyDescent="0.25"/>
  <cols>
    <col min="1" max="16384" width="8.5703125" style="17"/>
  </cols>
  <sheetData>
    <row r="2" spans="2:2" x14ac:dyDescent="0.25">
      <c r="B2" s="17" t="s">
        <v>202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1D284-C3DD-4A9A-9C93-495896E40B45}">
  <dimension ref="A1:X51"/>
  <sheetViews>
    <sheetView zoomScale="82" zoomScaleNormal="82" workbookViewId="0">
      <selection activeCell="A14" sqref="A14:XFD14"/>
    </sheetView>
  </sheetViews>
  <sheetFormatPr defaultColWidth="8.5703125" defaultRowHeight="15" x14ac:dyDescent="0.25"/>
  <cols>
    <col min="1" max="1" width="55.85546875" style="17" customWidth="1"/>
    <col min="2" max="2" width="13.5703125" style="17" customWidth="1"/>
    <col min="3" max="3" width="10" style="17" bestFit="1" customWidth="1"/>
    <col min="4" max="23" width="15.7109375" style="17" customWidth="1"/>
    <col min="24" max="16384" width="8.5703125" style="17"/>
  </cols>
  <sheetData>
    <row r="1" spans="1:23" ht="18.75" x14ac:dyDescent="0.3">
      <c r="A1" s="56" t="s">
        <v>284</v>
      </c>
      <c r="B1" s="56"/>
      <c r="C1" s="55"/>
    </row>
    <row r="2" spans="1:23" x14ac:dyDescent="0.25">
      <c r="C2"/>
    </row>
    <row r="3" spans="1:23" x14ac:dyDescent="0.25">
      <c r="D3" s="58" cm="1">
        <f t="array" ref="D3:W3">years</f>
        <v>2018</v>
      </c>
      <c r="E3" s="58">
        <v>2019</v>
      </c>
      <c r="F3" s="58">
        <v>2020</v>
      </c>
      <c r="G3" s="58">
        <v>2021</v>
      </c>
      <c r="H3" s="58">
        <v>2022</v>
      </c>
      <c r="I3" s="58">
        <v>2023</v>
      </c>
      <c r="J3" s="58">
        <v>2024</v>
      </c>
      <c r="K3" s="58">
        <v>2025</v>
      </c>
      <c r="L3" s="58">
        <v>2026</v>
      </c>
      <c r="M3" s="58">
        <v>2027</v>
      </c>
      <c r="N3" s="58">
        <v>2028</v>
      </c>
      <c r="O3" s="58">
        <v>2029</v>
      </c>
      <c r="P3" s="58">
        <v>2030</v>
      </c>
      <c r="Q3" s="58">
        <v>2031</v>
      </c>
      <c r="R3" s="58">
        <v>2032</v>
      </c>
      <c r="S3" s="58">
        <v>2033</v>
      </c>
      <c r="T3" s="58">
        <v>2034</v>
      </c>
      <c r="U3" s="58">
        <v>2035</v>
      </c>
      <c r="V3" s="58">
        <v>2036</v>
      </c>
      <c r="W3" s="58">
        <v>2037</v>
      </c>
    </row>
    <row r="4" spans="1:23" x14ac:dyDescent="0.25">
      <c r="A4" s="22" t="s">
        <v>285</v>
      </c>
      <c r="C4" s="197">
        <v>-0.03</v>
      </c>
      <c r="D4" s="66">
        <f>$C4</f>
        <v>-0.03</v>
      </c>
      <c r="E4" s="66">
        <f t="shared" ref="E4:W4" si="0">$C4</f>
        <v>-0.03</v>
      </c>
      <c r="F4" s="66">
        <f t="shared" si="0"/>
        <v>-0.03</v>
      </c>
      <c r="G4" s="66">
        <f t="shared" si="0"/>
        <v>-0.03</v>
      </c>
      <c r="H4" s="66">
        <f t="shared" si="0"/>
        <v>-0.03</v>
      </c>
      <c r="I4" s="66">
        <f t="shared" si="0"/>
        <v>-0.03</v>
      </c>
      <c r="J4" s="66">
        <f t="shared" si="0"/>
        <v>-0.03</v>
      </c>
      <c r="K4" s="66">
        <f t="shared" si="0"/>
        <v>-0.03</v>
      </c>
      <c r="L4" s="66">
        <f t="shared" si="0"/>
        <v>-0.03</v>
      </c>
      <c r="M4" s="66">
        <f t="shared" si="0"/>
        <v>-0.03</v>
      </c>
      <c r="N4" s="66">
        <f t="shared" si="0"/>
        <v>-0.03</v>
      </c>
      <c r="O4" s="66">
        <f t="shared" si="0"/>
        <v>-0.03</v>
      </c>
      <c r="P4" s="66">
        <f t="shared" si="0"/>
        <v>-0.03</v>
      </c>
      <c r="Q4" s="66">
        <f t="shared" si="0"/>
        <v>-0.03</v>
      </c>
      <c r="R4" s="66">
        <f t="shared" si="0"/>
        <v>-0.03</v>
      </c>
      <c r="S4" s="66">
        <f t="shared" si="0"/>
        <v>-0.03</v>
      </c>
      <c r="T4" s="66">
        <f t="shared" si="0"/>
        <v>-0.03</v>
      </c>
      <c r="U4" s="66">
        <f t="shared" si="0"/>
        <v>-0.03</v>
      </c>
      <c r="V4" s="66">
        <f t="shared" si="0"/>
        <v>-0.03</v>
      </c>
      <c r="W4" s="66">
        <f t="shared" si="0"/>
        <v>-0.03</v>
      </c>
    </row>
    <row r="5" spans="1:23" x14ac:dyDescent="0.25">
      <c r="A5" s="22" t="s">
        <v>286</v>
      </c>
      <c r="D5" s="22">
        <v>1</v>
      </c>
      <c r="E5" s="66">
        <f t="shared" ref="E5" si="1">D5*(1+E4)</f>
        <v>0.97</v>
      </c>
      <c r="F5" s="66">
        <f t="shared" ref="F5" si="2">E5*(1+F4)</f>
        <v>0.94089999999999996</v>
      </c>
      <c r="G5" s="66">
        <f t="shared" ref="G5" si="3">F5*(1+G4)</f>
        <v>0.91267299999999996</v>
      </c>
      <c r="H5" s="66">
        <f t="shared" ref="H5" si="4">G5*(1+H4)</f>
        <v>0.88529280999999993</v>
      </c>
      <c r="I5" s="66">
        <f t="shared" ref="I5" si="5">H5*(1+I4)</f>
        <v>0.8587340256999999</v>
      </c>
      <c r="J5" s="66">
        <f t="shared" ref="J5" si="6">I5*(1+J4)</f>
        <v>0.83297200492899992</v>
      </c>
      <c r="K5" s="66">
        <f t="shared" ref="K5" si="7">J5*(1+K4)</f>
        <v>0.80798284478112992</v>
      </c>
      <c r="L5" s="66">
        <f t="shared" ref="L5" si="8">K5*(1+L4)</f>
        <v>0.78374335943769602</v>
      </c>
      <c r="M5" s="66">
        <f t="shared" ref="M5" si="9">L5*(1+M4)</f>
        <v>0.76023105865456508</v>
      </c>
      <c r="N5" s="66">
        <f t="shared" ref="N5" si="10">M5*(1+N4)</f>
        <v>0.73742412689492809</v>
      </c>
      <c r="O5" s="66">
        <f t="shared" ref="O5" si="11">N5*(1+O4)</f>
        <v>0.71530140308808021</v>
      </c>
      <c r="P5" s="66">
        <f t="shared" ref="P5" si="12">O5*(1+P4)</f>
        <v>0.69384236099543783</v>
      </c>
      <c r="Q5" s="66">
        <f t="shared" ref="Q5" si="13">P5*(1+Q4)</f>
        <v>0.67302709016557472</v>
      </c>
      <c r="R5" s="66">
        <f t="shared" ref="R5" si="14">Q5*(1+R4)</f>
        <v>0.65283627746060746</v>
      </c>
      <c r="S5" s="66">
        <f t="shared" ref="S5" si="15">R5*(1+S4)</f>
        <v>0.63325118913678924</v>
      </c>
      <c r="T5" s="66">
        <f t="shared" ref="T5" si="16">S5*(1+T4)</f>
        <v>0.61425365346268557</v>
      </c>
      <c r="U5" s="66">
        <f t="shared" ref="U5" si="17">T5*(1+U4)</f>
        <v>0.595826043858805</v>
      </c>
      <c r="V5" s="66">
        <f t="shared" ref="V5" si="18">U5*(1+V4)</f>
        <v>0.57795126254304086</v>
      </c>
      <c r="W5" s="66">
        <f t="shared" ref="W5" si="19">V5*(1+W4)</f>
        <v>0.56061272466674961</v>
      </c>
    </row>
    <row r="7" spans="1:23" x14ac:dyDescent="0.25">
      <c r="A7" s="22" t="s">
        <v>286</v>
      </c>
      <c r="D7" s="22" cm="1">
        <f t="array" ref="D7:W7">inflation</f>
        <v>4.7E-2</v>
      </c>
      <c r="E7" s="22">
        <v>4.0999999999999995E-2</v>
      </c>
      <c r="F7" s="22">
        <v>3.3000000000000002E-2</v>
      </c>
      <c r="G7" s="22">
        <v>4.4999999999999998E-2</v>
      </c>
      <c r="H7" s="22">
        <v>6.9000000000000006E-2</v>
      </c>
      <c r="I7" s="22">
        <v>5.4000000000000006E-2</v>
      </c>
      <c r="J7" s="22">
        <v>4.8000000000000001E-2</v>
      </c>
      <c r="K7" s="22">
        <v>4.4999999999999998E-2</v>
      </c>
      <c r="L7" s="22">
        <v>4.4999999999999998E-2</v>
      </c>
      <c r="M7" s="22">
        <v>4.4999999999999998E-2</v>
      </c>
      <c r="N7" s="22">
        <v>4.4999999999999998E-2</v>
      </c>
      <c r="O7" s="22">
        <v>4.4999999999999998E-2</v>
      </c>
      <c r="P7" s="22">
        <v>4.4999999999999998E-2</v>
      </c>
      <c r="Q7" s="22">
        <v>4.4999999999999998E-2</v>
      </c>
      <c r="R7" s="22">
        <v>4.4999999999999998E-2</v>
      </c>
      <c r="S7" s="22">
        <v>4.4999999999999998E-2</v>
      </c>
      <c r="T7" s="22">
        <v>4.4999999999999998E-2</v>
      </c>
      <c r="U7" s="22">
        <v>4.4999999999999998E-2</v>
      </c>
      <c r="V7" s="22">
        <v>4.4999999999999998E-2</v>
      </c>
      <c r="W7" s="22">
        <v>4.4999999999999998E-2</v>
      </c>
    </row>
    <row r="8" spans="1:23" x14ac:dyDescent="0.25">
      <c r="A8" s="22" t="s">
        <v>287</v>
      </c>
      <c r="D8" s="66">
        <f t="shared" ref="D8" si="20">E8/(1+D7)</f>
        <v>0.91749263941530046</v>
      </c>
      <c r="E8" s="66">
        <f>F8/(1+E7)</f>
        <v>0.96061479346781953</v>
      </c>
      <c r="F8" s="22">
        <v>1</v>
      </c>
      <c r="G8" s="22">
        <f>F8+G7</f>
        <v>1.0449999999999999</v>
      </c>
      <c r="H8" s="22">
        <f>G8*(1+H7)</f>
        <v>1.1171049999999998</v>
      </c>
      <c r="I8" s="22">
        <f t="shared" ref="I8" si="21">H8*(1+I7)</f>
        <v>1.1774286699999998</v>
      </c>
      <c r="J8" s="22">
        <f t="shared" ref="J8" si="22">I8*(1+J7)</f>
        <v>1.2339452461599998</v>
      </c>
      <c r="K8" s="22">
        <f t="shared" ref="K8" si="23">J8*(1+K7)</f>
        <v>1.2894727822371996</v>
      </c>
      <c r="L8" s="22">
        <f t="shared" ref="L8" si="24">K8*(1+L7)</f>
        <v>1.3474990574378736</v>
      </c>
      <c r="M8" s="22">
        <f t="shared" ref="M8" si="25">L8*(1+M7)</f>
        <v>1.4081365150225778</v>
      </c>
      <c r="N8" s="22">
        <f t="shared" ref="N8" si="26">M8*(1+N7)</f>
        <v>1.4715026581985937</v>
      </c>
      <c r="O8" s="22">
        <f t="shared" ref="O8" si="27">N8*(1+O7)</f>
        <v>1.5377202778175303</v>
      </c>
      <c r="P8" s="22">
        <f t="shared" ref="P8" si="28">O8*(1+P7)</f>
        <v>1.606917690319319</v>
      </c>
      <c r="Q8" s="22">
        <f t="shared" ref="Q8" si="29">P8*(1+Q7)</f>
        <v>1.6792289863836882</v>
      </c>
      <c r="R8" s="22">
        <f t="shared" ref="R8" si="30">Q8*(1+R7)</f>
        <v>1.7547942907709542</v>
      </c>
      <c r="S8" s="22">
        <f t="shared" ref="S8" si="31">R8*(1+S7)</f>
        <v>1.833760033855647</v>
      </c>
      <c r="T8" s="22">
        <f t="shared" ref="T8" si="32">S8*(1+T7)</f>
        <v>1.9162792353791509</v>
      </c>
      <c r="U8" s="22">
        <f t="shared" ref="U8" si="33">T8*(1+U7)</f>
        <v>2.0025118009712126</v>
      </c>
      <c r="V8" s="22">
        <f t="shared" ref="V8" si="34">U8*(1+V7)</f>
        <v>2.0926248320149172</v>
      </c>
      <c r="W8" s="22">
        <f t="shared" ref="W8" si="35">V8*(1+W7)</f>
        <v>2.1867929494555884</v>
      </c>
    </row>
    <row r="10" spans="1:23" x14ac:dyDescent="0.25">
      <c r="A10" s="22" t="s">
        <v>288</v>
      </c>
      <c r="C10" s="9">
        <v>7.0000000000000007E-2</v>
      </c>
      <c r="D10" s="93" t="s">
        <v>289</v>
      </c>
    </row>
    <row r="12" spans="1:23" x14ac:dyDescent="0.25">
      <c r="A12" s="54" t="s">
        <v>290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4" spans="1:23" x14ac:dyDescent="0.25">
      <c r="A14" s="34" t="s">
        <v>195</v>
      </c>
      <c r="B14" s="34"/>
      <c r="C14" s="236"/>
      <c r="D14" s="235" cm="1">
        <f t="array" ref="D14:W14">years</f>
        <v>2018</v>
      </c>
      <c r="E14" s="58">
        <v>2019</v>
      </c>
      <c r="F14" s="58">
        <v>2020</v>
      </c>
      <c r="G14" s="58">
        <v>2021</v>
      </c>
      <c r="H14" s="58">
        <v>2022</v>
      </c>
      <c r="I14" s="58">
        <v>2023</v>
      </c>
      <c r="J14" s="58">
        <v>2024</v>
      </c>
      <c r="K14" s="58">
        <v>2025</v>
      </c>
      <c r="L14" s="58">
        <v>2026</v>
      </c>
      <c r="M14" s="58">
        <v>2027</v>
      </c>
      <c r="N14" s="58">
        <v>2028</v>
      </c>
      <c r="O14" s="58">
        <v>2029</v>
      </c>
      <c r="P14" s="58">
        <v>2030</v>
      </c>
      <c r="Q14" s="58">
        <v>2031</v>
      </c>
      <c r="R14" s="58">
        <v>2032</v>
      </c>
      <c r="S14" s="58">
        <v>2033</v>
      </c>
      <c r="T14" s="58">
        <v>2034</v>
      </c>
      <c r="U14" s="58">
        <v>2035</v>
      </c>
      <c r="V14" s="58">
        <v>2036</v>
      </c>
      <c r="W14" s="58">
        <v>2037</v>
      </c>
    </row>
    <row r="15" spans="1:23" x14ac:dyDescent="0.25">
      <c r="A15" s="22" t="str" cm="1">
        <f t="array" ref="A15:A30">core_elements</f>
        <v>Application server hardware</v>
      </c>
      <c r="B15" s="22"/>
      <c r="C15" s="22"/>
      <c r="D15" s="198">
        <f>211193.241816262*'4 Cost - capital'!$D$13</f>
        <v>2797629.3980992609</v>
      </c>
      <c r="E15" s="80">
        <f t="shared" ref="E15:E30" si="36">$D15*E$5</f>
        <v>2713700.5161562827</v>
      </c>
      <c r="F15" s="80">
        <f t="shared" ref="F15:W29" si="37">$D15*F$5</f>
        <v>2632289.5006715944</v>
      </c>
      <c r="G15" s="80">
        <f>$D15*G$5</f>
        <v>2553320.8156514466</v>
      </c>
      <c r="H15" s="80">
        <f t="shared" si="37"/>
        <v>2476721.1911819032</v>
      </c>
      <c r="I15" s="80">
        <f t="shared" si="37"/>
        <v>2402419.5554464459</v>
      </c>
      <c r="J15" s="80">
        <f t="shared" si="37"/>
        <v>2330346.9687830526</v>
      </c>
      <c r="K15" s="80">
        <f t="shared" si="37"/>
        <v>2260436.5597195611</v>
      </c>
      <c r="L15" s="80">
        <f t="shared" si="37"/>
        <v>2192623.4629279743</v>
      </c>
      <c r="M15" s="80">
        <f t="shared" si="37"/>
        <v>2126844.759040135</v>
      </c>
      <c r="N15" s="80">
        <f t="shared" si="37"/>
        <v>2063039.4162689305</v>
      </c>
      <c r="O15" s="80">
        <f t="shared" si="37"/>
        <v>2001148.2337808625</v>
      </c>
      <c r="P15" s="80">
        <f t="shared" si="37"/>
        <v>1941113.7867674369</v>
      </c>
      <c r="Q15" s="80">
        <f t="shared" si="37"/>
        <v>1882880.3731644137</v>
      </c>
      <c r="R15" s="80">
        <f t="shared" si="37"/>
        <v>1826393.9619694813</v>
      </c>
      <c r="S15" s="80">
        <f t="shared" si="37"/>
        <v>1771602.1431103968</v>
      </c>
      <c r="T15" s="80">
        <f t="shared" si="37"/>
        <v>1718454.0788170849</v>
      </c>
      <c r="U15" s="80">
        <f t="shared" si="37"/>
        <v>1666900.4564525725</v>
      </c>
      <c r="V15" s="80">
        <f t="shared" si="37"/>
        <v>1616893.4427589953</v>
      </c>
      <c r="W15" s="80">
        <f t="shared" si="37"/>
        <v>1568386.6394762252</v>
      </c>
    </row>
    <row r="16" spans="1:23" x14ac:dyDescent="0.25">
      <c r="A16" s="22" t="str">
        <v>Application server software</v>
      </c>
      <c r="B16" s="22"/>
      <c r="C16" s="22"/>
      <c r="D16" s="198">
        <f>686378.035902851*'4 Cost - capital'!$D$13</f>
        <v>9092295.5438225921</v>
      </c>
      <c r="E16" s="80">
        <f t="shared" si="36"/>
        <v>8819526.6775079146</v>
      </c>
      <c r="F16" s="80">
        <f t="shared" si="37"/>
        <v>8554940.8771826774</v>
      </c>
      <c r="G16" s="80">
        <f t="shared" si="37"/>
        <v>8298292.6508671958</v>
      </c>
      <c r="H16" s="80">
        <f t="shared" si="37"/>
        <v>8049343.8713411801</v>
      </c>
      <c r="I16" s="80">
        <f t="shared" si="37"/>
        <v>7807863.5552009447</v>
      </c>
      <c r="J16" s="80">
        <f t="shared" si="37"/>
        <v>7573627.648544916</v>
      </c>
      <c r="K16" s="80">
        <f t="shared" si="37"/>
        <v>7346418.8190885689</v>
      </c>
      <c r="L16" s="80">
        <f t="shared" si="37"/>
        <v>7126026.2545159115</v>
      </c>
      <c r="M16" s="80">
        <f t="shared" si="37"/>
        <v>6912245.4668804342</v>
      </c>
      <c r="N16" s="80">
        <f t="shared" si="37"/>
        <v>6704878.1028740201</v>
      </c>
      <c r="O16" s="80">
        <f t="shared" si="37"/>
        <v>6503731.7597877998</v>
      </c>
      <c r="P16" s="80">
        <f t="shared" si="37"/>
        <v>6308619.8069941653</v>
      </c>
      <c r="Q16" s="80">
        <f t="shared" si="37"/>
        <v>6119361.2127843406</v>
      </c>
      <c r="R16" s="80">
        <f t="shared" si="37"/>
        <v>5935780.3764008107</v>
      </c>
      <c r="S16" s="80">
        <f t="shared" si="37"/>
        <v>5757706.9651087867</v>
      </c>
      <c r="T16" s="80">
        <f t="shared" si="37"/>
        <v>5584975.7561555225</v>
      </c>
      <c r="U16" s="80">
        <f t="shared" si="37"/>
        <v>5417426.4834708571</v>
      </c>
      <c r="V16" s="80">
        <f t="shared" si="37"/>
        <v>5254903.6889667315</v>
      </c>
      <c r="W16" s="80">
        <f t="shared" si="37"/>
        <v>5097256.5782977296</v>
      </c>
    </row>
    <row r="17" spans="1:24" x14ac:dyDescent="0.25">
      <c r="A17" s="22" t="str">
        <v>Charging data function hardware</v>
      </c>
      <c r="B17" s="22"/>
      <c r="C17" s="22"/>
      <c r="D17" s="198">
        <f>211193.241816262*'4 Cost - capital'!$D$13</f>
        <v>2797629.3980992609</v>
      </c>
      <c r="E17" s="80">
        <f t="shared" si="36"/>
        <v>2713700.5161562827</v>
      </c>
      <c r="F17" s="80">
        <f t="shared" si="37"/>
        <v>2632289.5006715944</v>
      </c>
      <c r="G17" s="80">
        <f t="shared" si="37"/>
        <v>2553320.8156514466</v>
      </c>
      <c r="H17" s="80">
        <f t="shared" si="37"/>
        <v>2476721.1911819032</v>
      </c>
      <c r="I17" s="80">
        <f t="shared" si="37"/>
        <v>2402419.5554464459</v>
      </c>
      <c r="J17" s="80">
        <f t="shared" si="37"/>
        <v>2330346.9687830526</v>
      </c>
      <c r="K17" s="80">
        <f t="shared" si="37"/>
        <v>2260436.5597195611</v>
      </c>
      <c r="L17" s="80">
        <f t="shared" si="37"/>
        <v>2192623.4629279743</v>
      </c>
      <c r="M17" s="80">
        <f t="shared" si="37"/>
        <v>2126844.759040135</v>
      </c>
      <c r="N17" s="80">
        <f t="shared" si="37"/>
        <v>2063039.4162689305</v>
      </c>
      <c r="O17" s="80">
        <f t="shared" si="37"/>
        <v>2001148.2337808625</v>
      </c>
      <c r="P17" s="80">
        <f t="shared" si="37"/>
        <v>1941113.7867674369</v>
      </c>
      <c r="Q17" s="80">
        <f t="shared" si="37"/>
        <v>1882880.3731644137</v>
      </c>
      <c r="R17" s="80">
        <f t="shared" si="37"/>
        <v>1826393.9619694813</v>
      </c>
      <c r="S17" s="80">
        <f t="shared" si="37"/>
        <v>1771602.1431103968</v>
      </c>
      <c r="T17" s="80">
        <f t="shared" si="37"/>
        <v>1718454.0788170849</v>
      </c>
      <c r="U17" s="80">
        <f t="shared" si="37"/>
        <v>1666900.4564525725</v>
      </c>
      <c r="V17" s="80">
        <f t="shared" si="37"/>
        <v>1616893.4427589953</v>
      </c>
      <c r="W17" s="80">
        <f t="shared" si="37"/>
        <v>1568386.6394762252</v>
      </c>
    </row>
    <row r="18" spans="1:24" x14ac:dyDescent="0.25">
      <c r="A18" s="22" t="str">
        <v>Charging data function software</v>
      </c>
      <c r="B18" s="22"/>
      <c r="C18" s="22"/>
      <c r="D18" s="198">
        <f>475184.794086589*'4 Cost - capital'!$D$13</f>
        <v>6294666.1457233308</v>
      </c>
      <c r="E18" s="80">
        <f t="shared" si="36"/>
        <v>6105826.1613516305</v>
      </c>
      <c r="F18" s="80">
        <f t="shared" si="37"/>
        <v>5922651.3765110821</v>
      </c>
      <c r="G18" s="80">
        <f t="shared" si="37"/>
        <v>5744971.8352157492</v>
      </c>
      <c r="H18" s="80">
        <f t="shared" si="37"/>
        <v>5572622.6801592764</v>
      </c>
      <c r="I18" s="80">
        <f t="shared" si="37"/>
        <v>5405443.9997544978</v>
      </c>
      <c r="J18" s="80">
        <f t="shared" si="37"/>
        <v>5243280.6797618633</v>
      </c>
      <c r="K18" s="80">
        <f t="shared" si="37"/>
        <v>5085982.2593690073</v>
      </c>
      <c r="L18" s="80">
        <f t="shared" si="37"/>
        <v>4933402.7915879367</v>
      </c>
      <c r="M18" s="80">
        <f t="shared" si="37"/>
        <v>4785400.7078402983</v>
      </c>
      <c r="N18" s="80">
        <f t="shared" si="37"/>
        <v>4641838.6866050893</v>
      </c>
      <c r="O18" s="80">
        <f t="shared" si="37"/>
        <v>4502583.5260069361</v>
      </c>
      <c r="P18" s="80">
        <f t="shared" si="37"/>
        <v>4367506.0202267282</v>
      </c>
      <c r="Q18" s="80">
        <f t="shared" si="37"/>
        <v>4236480.8396199271</v>
      </c>
      <c r="R18" s="80">
        <f t="shared" si="37"/>
        <v>4109386.4144313289</v>
      </c>
      <c r="S18" s="80">
        <f t="shared" si="37"/>
        <v>3986104.821998389</v>
      </c>
      <c r="T18" s="80">
        <f t="shared" si="37"/>
        <v>3866521.6773384376</v>
      </c>
      <c r="U18" s="80">
        <f t="shared" si="37"/>
        <v>3750526.0270182844</v>
      </c>
      <c r="V18" s="80">
        <f t="shared" si="37"/>
        <v>3638010.246207736</v>
      </c>
      <c r="W18" s="80">
        <f t="shared" si="37"/>
        <v>3528869.9388215034</v>
      </c>
    </row>
    <row r="19" spans="1:24" x14ac:dyDescent="0.25">
      <c r="A19" s="22" t="str">
        <v>Proxy - Call session control function hardware</v>
      </c>
      <c r="B19" s="22"/>
      <c r="C19" s="22"/>
      <c r="D19" s="198">
        <f>950369.588173178*'4 Cost - capital'!$D$13</f>
        <v>12589332.291446662</v>
      </c>
      <c r="E19" s="80">
        <f t="shared" si="36"/>
        <v>12211652.322703261</v>
      </c>
      <c r="F19" s="80">
        <f t="shared" si="37"/>
        <v>11845302.753022164</v>
      </c>
      <c r="G19" s="80">
        <f t="shared" si="37"/>
        <v>11489943.670431498</v>
      </c>
      <c r="H19" s="80">
        <f t="shared" si="37"/>
        <v>11145245.360318553</v>
      </c>
      <c r="I19" s="80">
        <f t="shared" si="37"/>
        <v>10810887.999508996</v>
      </c>
      <c r="J19" s="80">
        <f t="shared" si="37"/>
        <v>10486561.359523727</v>
      </c>
      <c r="K19" s="80">
        <f t="shared" si="37"/>
        <v>10171964.518738015</v>
      </c>
      <c r="L19" s="80">
        <f t="shared" si="37"/>
        <v>9866805.5831758734</v>
      </c>
      <c r="M19" s="80">
        <f t="shared" si="37"/>
        <v>9570801.4156805966</v>
      </c>
      <c r="N19" s="80">
        <f t="shared" si="37"/>
        <v>9283677.3732101787</v>
      </c>
      <c r="O19" s="80">
        <f t="shared" si="37"/>
        <v>9005167.0520138722</v>
      </c>
      <c r="P19" s="80">
        <f t="shared" si="37"/>
        <v>8735012.0404534563</v>
      </c>
      <c r="Q19" s="80">
        <f t="shared" si="37"/>
        <v>8472961.6792398542</v>
      </c>
      <c r="R19" s="80">
        <f t="shared" si="37"/>
        <v>8218772.8288626578</v>
      </c>
      <c r="S19" s="80">
        <f t="shared" si="37"/>
        <v>7972209.6439967779</v>
      </c>
      <c r="T19" s="80">
        <f t="shared" si="37"/>
        <v>7733043.3546768753</v>
      </c>
      <c r="U19" s="80">
        <f t="shared" si="37"/>
        <v>7501052.0540365689</v>
      </c>
      <c r="V19" s="80">
        <f t="shared" si="37"/>
        <v>7276020.4924154719</v>
      </c>
      <c r="W19" s="80">
        <f t="shared" si="37"/>
        <v>7057739.8776430069</v>
      </c>
    </row>
    <row r="20" spans="1:24" x14ac:dyDescent="0.25">
      <c r="A20" s="22" t="str">
        <v>Proxy - Call session control function software</v>
      </c>
      <c r="B20" s="22"/>
      <c r="C20" s="22"/>
      <c r="D20" s="198">
        <f>422386.483632524*'4 Cost - capital'!$D$13</f>
        <v>5595258.7961985217</v>
      </c>
      <c r="E20" s="80">
        <f t="shared" si="36"/>
        <v>5427401.0323125655</v>
      </c>
      <c r="F20" s="80">
        <f t="shared" si="37"/>
        <v>5264579.0013431888</v>
      </c>
      <c r="G20" s="80">
        <f t="shared" si="37"/>
        <v>5106641.6313028932</v>
      </c>
      <c r="H20" s="80">
        <f t="shared" si="37"/>
        <v>4953442.3823638065</v>
      </c>
      <c r="I20" s="80">
        <f t="shared" si="37"/>
        <v>4804839.1108928919</v>
      </c>
      <c r="J20" s="80">
        <f t="shared" si="37"/>
        <v>4660693.9375661053</v>
      </c>
      <c r="K20" s="80">
        <f t="shared" si="37"/>
        <v>4520873.1194391223</v>
      </c>
      <c r="L20" s="80">
        <f t="shared" si="37"/>
        <v>4385246.9258559486</v>
      </c>
      <c r="M20" s="80">
        <f t="shared" si="37"/>
        <v>4253689.5180802699</v>
      </c>
      <c r="N20" s="80">
        <f t="shared" si="37"/>
        <v>4126078.8325378611</v>
      </c>
      <c r="O20" s="80">
        <f t="shared" si="37"/>
        <v>4002296.4675617251</v>
      </c>
      <c r="P20" s="80">
        <f t="shared" si="37"/>
        <v>3882227.5735348738</v>
      </c>
      <c r="Q20" s="80">
        <f t="shared" si="37"/>
        <v>3765760.7463288275</v>
      </c>
      <c r="R20" s="80">
        <f t="shared" si="37"/>
        <v>3652787.9239389626</v>
      </c>
      <c r="S20" s="80">
        <f t="shared" si="37"/>
        <v>3543204.2862207936</v>
      </c>
      <c r="T20" s="80">
        <f t="shared" si="37"/>
        <v>3436908.1576341698</v>
      </c>
      <c r="U20" s="80">
        <f t="shared" si="37"/>
        <v>3333800.912905145</v>
      </c>
      <c r="V20" s="80">
        <f t="shared" si="37"/>
        <v>3233786.8855179907</v>
      </c>
      <c r="W20" s="80">
        <f t="shared" si="37"/>
        <v>3136773.2789524505</v>
      </c>
    </row>
    <row r="21" spans="1:24" x14ac:dyDescent="0.25">
      <c r="A21" s="22" t="str">
        <v>Interrogating - Call session control function hardware</v>
      </c>
      <c r="B21" s="22"/>
      <c r="C21" s="22"/>
      <c r="D21" s="198">
        <f>950369.588173178*'4 Cost - capital'!$D$13</f>
        <v>12589332.291446662</v>
      </c>
      <c r="E21" s="80">
        <f t="shared" si="36"/>
        <v>12211652.322703261</v>
      </c>
      <c r="F21" s="80">
        <f t="shared" si="37"/>
        <v>11845302.753022164</v>
      </c>
      <c r="G21" s="80">
        <f t="shared" si="37"/>
        <v>11489943.670431498</v>
      </c>
      <c r="H21" s="80">
        <f t="shared" si="37"/>
        <v>11145245.360318553</v>
      </c>
      <c r="I21" s="80">
        <f t="shared" si="37"/>
        <v>10810887.999508996</v>
      </c>
      <c r="J21" s="80">
        <f t="shared" si="37"/>
        <v>10486561.359523727</v>
      </c>
      <c r="K21" s="80">
        <f t="shared" si="37"/>
        <v>10171964.518738015</v>
      </c>
      <c r="L21" s="80">
        <f t="shared" si="37"/>
        <v>9866805.5831758734</v>
      </c>
      <c r="M21" s="80">
        <f t="shared" si="37"/>
        <v>9570801.4156805966</v>
      </c>
      <c r="N21" s="80">
        <f t="shared" si="37"/>
        <v>9283677.3732101787</v>
      </c>
      <c r="O21" s="80">
        <f t="shared" si="37"/>
        <v>9005167.0520138722</v>
      </c>
      <c r="P21" s="80">
        <f t="shared" si="37"/>
        <v>8735012.0404534563</v>
      </c>
      <c r="Q21" s="80">
        <f t="shared" si="37"/>
        <v>8472961.6792398542</v>
      </c>
      <c r="R21" s="80">
        <f t="shared" si="37"/>
        <v>8218772.8288626578</v>
      </c>
      <c r="S21" s="80">
        <f t="shared" si="37"/>
        <v>7972209.6439967779</v>
      </c>
      <c r="T21" s="80">
        <f t="shared" si="37"/>
        <v>7733043.3546768753</v>
      </c>
      <c r="U21" s="80">
        <f t="shared" si="37"/>
        <v>7501052.0540365689</v>
      </c>
      <c r="V21" s="80">
        <f t="shared" si="37"/>
        <v>7276020.4924154719</v>
      </c>
      <c r="W21" s="80">
        <f t="shared" si="37"/>
        <v>7057739.8776430069</v>
      </c>
    </row>
    <row r="22" spans="1:24" x14ac:dyDescent="0.25">
      <c r="A22" s="22" t="str">
        <v>Interrogating - Call session control function software</v>
      </c>
      <c r="B22" s="22"/>
      <c r="C22" s="22"/>
      <c r="D22" s="198">
        <f>422386.483632524*'4 Cost - capital'!$D$13</f>
        <v>5595258.7961985217</v>
      </c>
      <c r="E22" s="80">
        <f t="shared" si="36"/>
        <v>5427401.0323125655</v>
      </c>
      <c r="F22" s="80">
        <f t="shared" si="37"/>
        <v>5264579.0013431888</v>
      </c>
      <c r="G22" s="80">
        <f t="shared" si="37"/>
        <v>5106641.6313028932</v>
      </c>
      <c r="H22" s="80">
        <f t="shared" si="37"/>
        <v>4953442.3823638065</v>
      </c>
      <c r="I22" s="80">
        <f t="shared" si="37"/>
        <v>4804839.1108928919</v>
      </c>
      <c r="J22" s="80">
        <f t="shared" si="37"/>
        <v>4660693.9375661053</v>
      </c>
      <c r="K22" s="80">
        <f t="shared" si="37"/>
        <v>4520873.1194391223</v>
      </c>
      <c r="L22" s="80">
        <f t="shared" si="37"/>
        <v>4385246.9258559486</v>
      </c>
      <c r="M22" s="80">
        <f t="shared" si="37"/>
        <v>4253689.5180802699</v>
      </c>
      <c r="N22" s="80">
        <f t="shared" si="37"/>
        <v>4126078.8325378611</v>
      </c>
      <c r="O22" s="80">
        <f t="shared" si="37"/>
        <v>4002296.4675617251</v>
      </c>
      <c r="P22" s="80">
        <f t="shared" si="37"/>
        <v>3882227.5735348738</v>
      </c>
      <c r="Q22" s="80">
        <f t="shared" si="37"/>
        <v>3765760.7463288275</v>
      </c>
      <c r="R22" s="80">
        <f t="shared" si="37"/>
        <v>3652787.9239389626</v>
      </c>
      <c r="S22" s="80">
        <f t="shared" si="37"/>
        <v>3543204.2862207936</v>
      </c>
      <c r="T22" s="80">
        <f t="shared" si="37"/>
        <v>3436908.1576341698</v>
      </c>
      <c r="U22" s="80">
        <f t="shared" si="37"/>
        <v>3333800.912905145</v>
      </c>
      <c r="V22" s="80">
        <f t="shared" si="37"/>
        <v>3233786.8855179907</v>
      </c>
      <c r="W22" s="80">
        <f t="shared" si="37"/>
        <v>3136773.2789524505</v>
      </c>
    </row>
    <row r="23" spans="1:24" x14ac:dyDescent="0.25">
      <c r="A23" s="22" t="str">
        <v>Serving - Call session control function hardware</v>
      </c>
      <c r="B23" s="22"/>
      <c r="C23" s="22"/>
      <c r="D23" s="198">
        <f>79197.4656810982*'4 Cost - capital'!$D$13</f>
        <v>1049111.0242872222</v>
      </c>
      <c r="E23" s="80">
        <f t="shared" si="36"/>
        <v>1017637.6935586055</v>
      </c>
      <c r="F23" s="80">
        <f t="shared" si="37"/>
        <v>987108.56275184732</v>
      </c>
      <c r="G23" s="80">
        <f t="shared" si="37"/>
        <v>957495.30586929189</v>
      </c>
      <c r="H23" s="80">
        <f t="shared" si="37"/>
        <v>928770.44669321307</v>
      </c>
      <c r="I23" s="80">
        <f t="shared" si="37"/>
        <v>900907.33329241665</v>
      </c>
      <c r="J23" s="80">
        <f t="shared" si="37"/>
        <v>873880.11329364416</v>
      </c>
      <c r="K23" s="80">
        <f t="shared" si="37"/>
        <v>847663.7098948349</v>
      </c>
      <c r="L23" s="80">
        <f t="shared" si="37"/>
        <v>822233.79859798984</v>
      </c>
      <c r="M23" s="80">
        <f t="shared" si="37"/>
        <v>797566.78464005003</v>
      </c>
      <c r="N23" s="80">
        <f t="shared" si="37"/>
        <v>773639.78110084857</v>
      </c>
      <c r="O23" s="80">
        <f t="shared" si="37"/>
        <v>750430.58766782307</v>
      </c>
      <c r="P23" s="80">
        <f t="shared" si="37"/>
        <v>727917.67003778834</v>
      </c>
      <c r="Q23" s="80">
        <f t="shared" si="37"/>
        <v>706080.13993665471</v>
      </c>
      <c r="R23" s="80">
        <f t="shared" si="37"/>
        <v>684897.73573855509</v>
      </c>
      <c r="S23" s="80">
        <f t="shared" si="37"/>
        <v>664350.80366639839</v>
      </c>
      <c r="T23" s="80">
        <f t="shared" si="37"/>
        <v>644420.27955640643</v>
      </c>
      <c r="U23" s="80">
        <f t="shared" si="37"/>
        <v>625087.6711697143</v>
      </c>
      <c r="V23" s="80">
        <f t="shared" si="37"/>
        <v>606335.04103462282</v>
      </c>
      <c r="W23" s="80">
        <f t="shared" si="37"/>
        <v>588144.98980358418</v>
      </c>
    </row>
    <row r="24" spans="1:24" x14ac:dyDescent="0.25">
      <c r="A24" s="22" t="str">
        <v>Serving - Call session control function software</v>
      </c>
      <c r="B24" s="22"/>
      <c r="C24" s="22"/>
      <c r="D24" s="198">
        <f>527983.104540655*'4 Cost - capital'!$D$13</f>
        <v>6994073.4952481529</v>
      </c>
      <c r="E24" s="80">
        <f t="shared" si="36"/>
        <v>6784251.2903907085</v>
      </c>
      <c r="F24" s="80">
        <f t="shared" si="37"/>
        <v>6580723.7516789865</v>
      </c>
      <c r="G24" s="80">
        <f t="shared" si="37"/>
        <v>6383302.0391286174</v>
      </c>
      <c r="H24" s="80">
        <f t="shared" si="37"/>
        <v>6191802.9779547583</v>
      </c>
      <c r="I24" s="80">
        <f t="shared" si="37"/>
        <v>6006048.8886161158</v>
      </c>
      <c r="J24" s="80">
        <f t="shared" si="37"/>
        <v>5825867.4219576325</v>
      </c>
      <c r="K24" s="80">
        <f t="shared" si="37"/>
        <v>5651091.3992989035</v>
      </c>
      <c r="L24" s="80">
        <f t="shared" si="37"/>
        <v>5481558.657319936</v>
      </c>
      <c r="M24" s="80">
        <f t="shared" si="37"/>
        <v>5317111.8976003379</v>
      </c>
      <c r="N24" s="80">
        <f t="shared" si="37"/>
        <v>5157598.5406723274</v>
      </c>
      <c r="O24" s="80">
        <f t="shared" si="37"/>
        <v>5002870.5844521569</v>
      </c>
      <c r="P24" s="80">
        <f t="shared" si="37"/>
        <v>4852784.4669185923</v>
      </c>
      <c r="Q24" s="80">
        <f t="shared" si="37"/>
        <v>4707200.9329110347</v>
      </c>
      <c r="R24" s="80">
        <f t="shared" si="37"/>
        <v>4565984.9049237035</v>
      </c>
      <c r="S24" s="80">
        <f t="shared" si="37"/>
        <v>4429005.3577759927</v>
      </c>
      <c r="T24" s="80">
        <f t="shared" si="37"/>
        <v>4296135.1970427129</v>
      </c>
      <c r="U24" s="80">
        <f t="shared" si="37"/>
        <v>4167251.1411314313</v>
      </c>
      <c r="V24" s="80">
        <f t="shared" si="37"/>
        <v>4042233.6068974887</v>
      </c>
      <c r="W24" s="80">
        <f t="shared" si="37"/>
        <v>3920966.5986905638</v>
      </c>
    </row>
    <row r="25" spans="1:24" x14ac:dyDescent="0.25">
      <c r="A25" s="22" t="str">
        <v>Media resource function - hardware</v>
      </c>
      <c r="B25" s="22"/>
      <c r="C25" s="22"/>
      <c r="D25" s="198">
        <f>10559.6620908131*'4 Cost - capital'!$D$13</f>
        <v>139881.46990496304</v>
      </c>
      <c r="E25" s="80">
        <f t="shared" si="36"/>
        <v>135685.02580781415</v>
      </c>
      <c r="F25" s="80">
        <f t="shared" si="37"/>
        <v>131614.47503357971</v>
      </c>
      <c r="G25" s="80">
        <f t="shared" si="37"/>
        <v>127666.04078257232</v>
      </c>
      <c r="H25" s="80">
        <f t="shared" si="37"/>
        <v>123836.05955909516</v>
      </c>
      <c r="I25" s="80">
        <f t="shared" si="37"/>
        <v>120120.97777232229</v>
      </c>
      <c r="J25" s="80">
        <f t="shared" si="37"/>
        <v>116517.34843915263</v>
      </c>
      <c r="K25" s="80">
        <f t="shared" si="37"/>
        <v>113021.82798597805</v>
      </c>
      <c r="L25" s="80">
        <f t="shared" si="37"/>
        <v>109631.17314639871</v>
      </c>
      <c r="M25" s="80">
        <f t="shared" si="37"/>
        <v>106342.23795200673</v>
      </c>
      <c r="N25" s="80">
        <f t="shared" si="37"/>
        <v>103151.97081344653</v>
      </c>
      <c r="O25" s="80">
        <f t="shared" si="37"/>
        <v>100057.41168904313</v>
      </c>
      <c r="P25" s="80">
        <f t="shared" si="37"/>
        <v>97055.689338371842</v>
      </c>
      <c r="Q25" s="80">
        <f t="shared" si="37"/>
        <v>94144.018658220695</v>
      </c>
      <c r="R25" s="80">
        <f t="shared" si="37"/>
        <v>91319.698098474066</v>
      </c>
      <c r="S25" s="80">
        <f t="shared" si="37"/>
        <v>88580.107155519843</v>
      </c>
      <c r="T25" s="80">
        <f t="shared" si="37"/>
        <v>85922.703940854248</v>
      </c>
      <c r="U25" s="80">
        <f t="shared" si="37"/>
        <v>83345.022822628627</v>
      </c>
      <c r="V25" s="80">
        <f t="shared" si="37"/>
        <v>80844.672137949761</v>
      </c>
      <c r="W25" s="80">
        <f t="shared" si="37"/>
        <v>78419.331973811262</v>
      </c>
    </row>
    <row r="26" spans="1:24" x14ac:dyDescent="0.25">
      <c r="A26" s="22" t="str">
        <v>Media resource function - software</v>
      </c>
      <c r="B26" s="22"/>
      <c r="C26" s="22"/>
      <c r="D26" s="198">
        <f>5279.83104540655*'4 Cost - capital'!$D$13</f>
        <v>69940.734952481522</v>
      </c>
      <c r="E26" s="80">
        <f t="shared" si="36"/>
        <v>67842.512903907074</v>
      </c>
      <c r="F26" s="80">
        <f t="shared" si="37"/>
        <v>65807.237516789857</v>
      </c>
      <c r="G26" s="80">
        <f t="shared" si="37"/>
        <v>63833.020391286162</v>
      </c>
      <c r="H26" s="80">
        <f t="shared" si="37"/>
        <v>61918.029779547578</v>
      </c>
      <c r="I26" s="80">
        <f t="shared" si="37"/>
        <v>60060.488886161147</v>
      </c>
      <c r="J26" s="80">
        <f t="shared" si="37"/>
        <v>58258.674219576314</v>
      </c>
      <c r="K26" s="80">
        <f t="shared" si="37"/>
        <v>56510.913992989023</v>
      </c>
      <c r="L26" s="80">
        <f t="shared" si="37"/>
        <v>54815.586573199354</v>
      </c>
      <c r="M26" s="80">
        <f t="shared" si="37"/>
        <v>53171.118976003367</v>
      </c>
      <c r="N26" s="80">
        <f t="shared" si="37"/>
        <v>51575.985406723266</v>
      </c>
      <c r="O26" s="80">
        <f t="shared" si="37"/>
        <v>50028.705844521566</v>
      </c>
      <c r="P26" s="80">
        <f t="shared" si="37"/>
        <v>48527.844669185921</v>
      </c>
      <c r="Q26" s="80">
        <f t="shared" si="37"/>
        <v>47072.009329110348</v>
      </c>
      <c r="R26" s="80">
        <f t="shared" si="37"/>
        <v>45659.849049237033</v>
      </c>
      <c r="S26" s="80">
        <f t="shared" si="37"/>
        <v>44290.053577759922</v>
      </c>
      <c r="T26" s="80">
        <f t="shared" si="37"/>
        <v>42961.351970427124</v>
      </c>
      <c r="U26" s="80">
        <f t="shared" si="37"/>
        <v>41672.511411314314</v>
      </c>
      <c r="V26" s="80">
        <f t="shared" si="37"/>
        <v>40422.336068974881</v>
      </c>
      <c r="W26" s="80">
        <f t="shared" si="37"/>
        <v>39209.665986905631</v>
      </c>
      <c r="X26" s="20"/>
    </row>
    <row r="27" spans="1:24" x14ac:dyDescent="0.25">
      <c r="A27" s="22" t="str">
        <v>Access session border controller - hardware</v>
      </c>
      <c r="B27" s="22"/>
      <c r="C27" s="22"/>
      <c r="D27" s="198">
        <f>26399.1552270327*'4 Cost - capital'!$D$13</f>
        <v>349703.67476240697</v>
      </c>
      <c r="E27" s="80">
        <f t="shared" si="36"/>
        <v>339212.56451953476</v>
      </c>
      <c r="F27" s="80">
        <f t="shared" si="37"/>
        <v>329036.18758394872</v>
      </c>
      <c r="G27" s="80">
        <f t="shared" si="37"/>
        <v>319165.10195643024</v>
      </c>
      <c r="H27" s="80">
        <f t="shared" si="37"/>
        <v>309590.14889773732</v>
      </c>
      <c r="I27" s="80">
        <f t="shared" si="37"/>
        <v>300302.44443080522</v>
      </c>
      <c r="J27" s="80">
        <f t="shared" si="37"/>
        <v>291293.37109788106</v>
      </c>
      <c r="K27" s="80">
        <f t="shared" si="37"/>
        <v>282554.56996494462</v>
      </c>
      <c r="L27" s="80">
        <f t="shared" si="37"/>
        <v>274077.93286599626</v>
      </c>
      <c r="M27" s="80">
        <f t="shared" si="37"/>
        <v>265855.59488001635</v>
      </c>
      <c r="N27" s="80">
        <f t="shared" si="37"/>
        <v>257879.92703361585</v>
      </c>
      <c r="O27" s="80">
        <f t="shared" si="37"/>
        <v>250143.52922260738</v>
      </c>
      <c r="P27" s="80">
        <f t="shared" si="37"/>
        <v>242639.22334592915</v>
      </c>
      <c r="Q27" s="80">
        <f t="shared" si="37"/>
        <v>235360.04664555128</v>
      </c>
      <c r="R27" s="80">
        <f t="shared" si="37"/>
        <v>228299.24524618476</v>
      </c>
      <c r="S27" s="80">
        <f t="shared" si="37"/>
        <v>221450.26788879919</v>
      </c>
      <c r="T27" s="80">
        <f t="shared" si="37"/>
        <v>214806.75985213523</v>
      </c>
      <c r="U27" s="80">
        <f t="shared" si="37"/>
        <v>208362.55705657118</v>
      </c>
      <c r="V27" s="80">
        <f t="shared" si="37"/>
        <v>202111.68034487404</v>
      </c>
      <c r="W27" s="80">
        <f t="shared" si="37"/>
        <v>196048.32993452781</v>
      </c>
      <c r="X27" s="20"/>
    </row>
    <row r="28" spans="1:24" x14ac:dyDescent="0.25">
      <c r="A28" s="22" t="str">
        <v>Access session border controller - software</v>
      </c>
      <c r="B28" s="22"/>
      <c r="C28" s="22"/>
      <c r="D28" s="198">
        <f>13199.5776135164*'4 Cost - capital'!$D$13</f>
        <v>174851.83738120412</v>
      </c>
      <c r="E28" s="80">
        <f t="shared" si="36"/>
        <v>169606.28225976799</v>
      </c>
      <c r="F28" s="80">
        <f t="shared" si="37"/>
        <v>164518.09379197494</v>
      </c>
      <c r="G28" s="80">
        <f t="shared" si="37"/>
        <v>159582.5509782157</v>
      </c>
      <c r="H28" s="80">
        <f t="shared" si="37"/>
        <v>154795.07444886921</v>
      </c>
      <c r="I28" s="80">
        <f t="shared" si="37"/>
        <v>150151.22221540313</v>
      </c>
      <c r="J28" s="80">
        <f t="shared" si="37"/>
        <v>145646.68554894105</v>
      </c>
      <c r="K28" s="80">
        <f t="shared" si="37"/>
        <v>141277.28498247283</v>
      </c>
      <c r="L28" s="80">
        <f t="shared" si="37"/>
        <v>137038.96643299863</v>
      </c>
      <c r="M28" s="80">
        <f t="shared" si="37"/>
        <v>132927.79744000867</v>
      </c>
      <c r="N28" s="80">
        <f t="shared" si="37"/>
        <v>128939.96351680841</v>
      </c>
      <c r="O28" s="80">
        <f t="shared" si="37"/>
        <v>125071.76461130414</v>
      </c>
      <c r="P28" s="80">
        <f t="shared" si="37"/>
        <v>121319.61167296502</v>
      </c>
      <c r="Q28" s="80">
        <f t="shared" si="37"/>
        <v>117680.02332277608</v>
      </c>
      <c r="R28" s="80">
        <f t="shared" si="37"/>
        <v>114149.62262309279</v>
      </c>
      <c r="S28" s="80">
        <f t="shared" si="37"/>
        <v>110725.1339444</v>
      </c>
      <c r="T28" s="80">
        <f t="shared" si="37"/>
        <v>107403.37992606801</v>
      </c>
      <c r="U28" s="80">
        <f t="shared" si="37"/>
        <v>104181.27852828597</v>
      </c>
      <c r="V28" s="80">
        <f t="shared" si="37"/>
        <v>101055.84017243738</v>
      </c>
      <c r="W28" s="80">
        <f t="shared" si="37"/>
        <v>98024.164967264267</v>
      </c>
      <c r="X28" s="20"/>
    </row>
    <row r="29" spans="1:24" x14ac:dyDescent="0.25">
      <c r="A29" s="22" t="str">
        <v>Internet exchange point session border controller - hardware</v>
      </c>
      <c r="B29" s="22"/>
      <c r="C29" s="22"/>
      <c r="D29" s="198">
        <f>19799.3664202745*'4 Cost - capital'!$D$13</f>
        <v>262277.75607180485</v>
      </c>
      <c r="E29" s="80">
        <f t="shared" si="36"/>
        <v>254409.42338965071</v>
      </c>
      <c r="F29" s="80">
        <f t="shared" si="37"/>
        <v>246777.14068796116</v>
      </c>
      <c r="G29" s="80">
        <f t="shared" si="37"/>
        <v>239373.82646732233</v>
      </c>
      <c r="H29" s="80">
        <f t="shared" si="37"/>
        <v>232192.61167330266</v>
      </c>
      <c r="I29" s="80">
        <f t="shared" ref="I29:W30" si="38">$D29*I$5</f>
        <v>225226.83332310358</v>
      </c>
      <c r="J29" s="80">
        <f t="shared" si="38"/>
        <v>218470.02832341046</v>
      </c>
      <c r="K29" s="80">
        <f t="shared" si="38"/>
        <v>211915.92747370814</v>
      </c>
      <c r="L29" s="80">
        <f t="shared" si="38"/>
        <v>205558.44964949691</v>
      </c>
      <c r="M29" s="80">
        <f t="shared" si="38"/>
        <v>199391.69616001198</v>
      </c>
      <c r="N29" s="80">
        <f t="shared" si="38"/>
        <v>193409.94527521162</v>
      </c>
      <c r="O29" s="80">
        <f t="shared" si="38"/>
        <v>187607.64691695524</v>
      </c>
      <c r="P29" s="80">
        <f t="shared" si="38"/>
        <v>181979.41750944662</v>
      </c>
      <c r="Q29" s="80">
        <f t="shared" si="38"/>
        <v>176520.03498416321</v>
      </c>
      <c r="R29" s="80">
        <f t="shared" si="38"/>
        <v>171224.43393463831</v>
      </c>
      <c r="S29" s="80">
        <f t="shared" si="38"/>
        <v>166087.70091659916</v>
      </c>
      <c r="T29" s="80">
        <f t="shared" si="38"/>
        <v>161105.0698891012</v>
      </c>
      <c r="U29" s="80">
        <f t="shared" si="38"/>
        <v>156271.91779242817</v>
      </c>
      <c r="V29" s="80">
        <f t="shared" si="38"/>
        <v>151583.76025865533</v>
      </c>
      <c r="W29" s="80">
        <f t="shared" si="38"/>
        <v>147036.24745089564</v>
      </c>
    </row>
    <row r="30" spans="1:24" x14ac:dyDescent="0.25">
      <c r="A30" s="22" t="str">
        <v>Internet exchange point session border controller - software</v>
      </c>
      <c r="B30" s="22"/>
      <c r="C30" s="22"/>
      <c r="D30" s="198">
        <f>39598.7328405491*'4 Cost - capital'!$D$13</f>
        <v>524555.51214361109</v>
      </c>
      <c r="E30" s="80">
        <f t="shared" si="36"/>
        <v>508818.84677930275</v>
      </c>
      <c r="F30" s="80">
        <f t="shared" ref="F30:H30" si="39">$D30*F$5</f>
        <v>493554.28137592366</v>
      </c>
      <c r="G30" s="80">
        <f t="shared" si="39"/>
        <v>478747.65293464594</v>
      </c>
      <c r="H30" s="80">
        <f t="shared" si="39"/>
        <v>464385.22334660654</v>
      </c>
      <c r="I30" s="80">
        <f t="shared" si="38"/>
        <v>450453.66664620832</v>
      </c>
      <c r="J30" s="80">
        <f t="shared" si="38"/>
        <v>436940.05664682208</v>
      </c>
      <c r="K30" s="80">
        <f t="shared" si="38"/>
        <v>423831.85494741745</v>
      </c>
      <c r="L30" s="80">
        <f t="shared" si="38"/>
        <v>411116.89929899492</v>
      </c>
      <c r="M30" s="80">
        <f t="shared" si="38"/>
        <v>398783.39232002501</v>
      </c>
      <c r="N30" s="80">
        <f t="shared" si="38"/>
        <v>386819.89055042429</v>
      </c>
      <c r="O30" s="80">
        <f t="shared" si="38"/>
        <v>375215.29383391154</v>
      </c>
      <c r="P30" s="80">
        <f t="shared" si="38"/>
        <v>363958.83501889417</v>
      </c>
      <c r="Q30" s="80">
        <f t="shared" si="38"/>
        <v>353040.06996832736</v>
      </c>
      <c r="R30" s="80">
        <f t="shared" si="38"/>
        <v>342448.86786927754</v>
      </c>
      <c r="S30" s="80">
        <f t="shared" si="38"/>
        <v>332175.4018331992</v>
      </c>
      <c r="T30" s="80">
        <f t="shared" si="38"/>
        <v>322210.13977820321</v>
      </c>
      <c r="U30" s="80">
        <f t="shared" si="38"/>
        <v>312543.83558485715</v>
      </c>
      <c r="V30" s="80">
        <f t="shared" si="38"/>
        <v>303167.52051731141</v>
      </c>
      <c r="W30" s="80">
        <f t="shared" si="38"/>
        <v>294072.49490179209</v>
      </c>
      <c r="X30" s="6" t="s">
        <v>291</v>
      </c>
    </row>
    <row r="31" spans="1:24" x14ac:dyDescent="0.25">
      <c r="E31" s="28"/>
    </row>
    <row r="32" spans="1:24" x14ac:dyDescent="0.25">
      <c r="C32"/>
    </row>
    <row r="33" spans="1:23" x14ac:dyDescent="0.25">
      <c r="A33" s="54" t="s">
        <v>292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</row>
    <row r="35" spans="1:23" x14ac:dyDescent="0.25">
      <c r="A35" s="236"/>
      <c r="B35" s="237"/>
      <c r="C35" s="236"/>
      <c r="D35" s="58" cm="1">
        <f t="array" ref="D35:W35">years</f>
        <v>2018</v>
      </c>
      <c r="E35" s="58">
        <v>2019</v>
      </c>
      <c r="F35" s="58">
        <v>2020</v>
      </c>
      <c r="G35" s="58">
        <v>2021</v>
      </c>
      <c r="H35" s="58">
        <v>2022</v>
      </c>
      <c r="I35" s="58">
        <v>2023</v>
      </c>
      <c r="J35" s="58">
        <v>2024</v>
      </c>
      <c r="K35" s="58">
        <v>2025</v>
      </c>
      <c r="L35" s="58">
        <v>2026</v>
      </c>
      <c r="M35" s="58">
        <v>2027</v>
      </c>
      <c r="N35" s="58">
        <v>2028</v>
      </c>
      <c r="O35" s="58">
        <v>2029</v>
      </c>
      <c r="P35" s="58">
        <v>2030</v>
      </c>
      <c r="Q35" s="58">
        <v>2031</v>
      </c>
      <c r="R35" s="58">
        <v>2032</v>
      </c>
      <c r="S35" s="58">
        <v>2033</v>
      </c>
      <c r="T35" s="58">
        <v>2034</v>
      </c>
      <c r="U35" s="58">
        <v>2035</v>
      </c>
      <c r="V35" s="58">
        <v>2036</v>
      </c>
      <c r="W35" s="58">
        <v>2037</v>
      </c>
    </row>
    <row r="36" spans="1:23" x14ac:dyDescent="0.25">
      <c r="A36" s="8" t="str" cm="1">
        <f t="array" ref="A36:A51">core_elements</f>
        <v>Application server hardware</v>
      </c>
      <c r="B36" s="103"/>
      <c r="C36" s="22"/>
      <c r="D36" s="200" cm="1">
        <f t="array" ref="D36:W51">$C$10*unit_costs_core_capex</f>
        <v>195834.05786694828</v>
      </c>
      <c r="E36" s="200">
        <v>189959.03613093981</v>
      </c>
      <c r="F36" s="200">
        <v>184260.26504701164</v>
      </c>
      <c r="G36" s="200">
        <v>178732.45709560128</v>
      </c>
      <c r="H36" s="200">
        <v>173370.48338273325</v>
      </c>
      <c r="I36" s="200">
        <v>168169.36888125123</v>
      </c>
      <c r="J36" s="200">
        <v>163124.2878148137</v>
      </c>
      <c r="K36" s="201">
        <v>158230.55918036928</v>
      </c>
      <c r="L36" s="201">
        <v>153483.64240495823</v>
      </c>
      <c r="M36" s="201">
        <v>148879.13313280945</v>
      </c>
      <c r="N36" s="201">
        <v>144412.75913882515</v>
      </c>
      <c r="O36" s="201">
        <v>140080.37636466039</v>
      </c>
      <c r="P36" s="201">
        <v>135877.96507372058</v>
      </c>
      <c r="Q36" s="201">
        <v>131801.62612150898</v>
      </c>
      <c r="R36" s="201">
        <v>127847.57733786371</v>
      </c>
      <c r="S36" s="201">
        <v>124012.15001772779</v>
      </c>
      <c r="T36" s="201">
        <v>120291.78551719595</v>
      </c>
      <c r="U36" s="201">
        <v>116683.03195168008</v>
      </c>
      <c r="V36" s="201">
        <v>113182.54099312969</v>
      </c>
      <c r="W36" s="201">
        <v>109787.06476333577</v>
      </c>
    </row>
    <row r="37" spans="1:23" x14ac:dyDescent="0.25">
      <c r="A37" s="8" t="str">
        <v>Application server software</v>
      </c>
      <c r="B37" s="103"/>
      <c r="C37" s="22"/>
      <c r="D37" s="200">
        <v>636460.6880675815</v>
      </c>
      <c r="E37" s="200">
        <v>617366.86742555408</v>
      </c>
      <c r="F37" s="200">
        <v>598845.8614027875</v>
      </c>
      <c r="G37" s="200">
        <v>580880.48556070379</v>
      </c>
      <c r="H37" s="200">
        <v>563454.0709938826</v>
      </c>
      <c r="I37" s="200">
        <v>546550.44886406616</v>
      </c>
      <c r="J37" s="200">
        <v>530153.93539814418</v>
      </c>
      <c r="K37" s="201">
        <v>514249.31733619986</v>
      </c>
      <c r="L37" s="201">
        <v>498821.83781611384</v>
      </c>
      <c r="M37" s="201">
        <v>483857.18268163042</v>
      </c>
      <c r="N37" s="201">
        <v>469341.46720118145</v>
      </c>
      <c r="O37" s="201">
        <v>455261.22318514605</v>
      </c>
      <c r="P37" s="201">
        <v>441603.38648959162</v>
      </c>
      <c r="Q37" s="201">
        <v>428355.28489490389</v>
      </c>
      <c r="R37" s="201">
        <v>415504.62634805677</v>
      </c>
      <c r="S37" s="201">
        <v>403039.4875576151</v>
      </c>
      <c r="T37" s="201">
        <v>390948.30293088662</v>
      </c>
      <c r="U37" s="201">
        <v>379219.85384296003</v>
      </c>
      <c r="V37" s="201">
        <v>367843.25822767126</v>
      </c>
      <c r="W37" s="201">
        <v>356807.96048084111</v>
      </c>
    </row>
    <row r="38" spans="1:23" x14ac:dyDescent="0.25">
      <c r="A38" s="8" t="str">
        <v>Charging data function hardware</v>
      </c>
      <c r="B38" s="103"/>
      <c r="C38" s="22"/>
      <c r="D38" s="200">
        <v>195834.05786694828</v>
      </c>
      <c r="E38" s="200">
        <v>189959.03613093981</v>
      </c>
      <c r="F38" s="200">
        <v>184260.26504701164</v>
      </c>
      <c r="G38" s="200">
        <v>178732.45709560128</v>
      </c>
      <c r="H38" s="200">
        <v>173370.48338273325</v>
      </c>
      <c r="I38" s="200">
        <v>168169.36888125123</v>
      </c>
      <c r="J38" s="200">
        <v>163124.2878148137</v>
      </c>
      <c r="K38" s="201">
        <v>158230.55918036928</v>
      </c>
      <c r="L38" s="201">
        <v>153483.64240495823</v>
      </c>
      <c r="M38" s="201">
        <v>148879.13313280945</v>
      </c>
      <c r="N38" s="201">
        <v>144412.75913882515</v>
      </c>
      <c r="O38" s="201">
        <v>140080.37636466039</v>
      </c>
      <c r="P38" s="201">
        <v>135877.96507372058</v>
      </c>
      <c r="Q38" s="201">
        <v>131801.62612150898</v>
      </c>
      <c r="R38" s="201">
        <v>127847.57733786371</v>
      </c>
      <c r="S38" s="201">
        <v>124012.15001772779</v>
      </c>
      <c r="T38" s="201">
        <v>120291.78551719595</v>
      </c>
      <c r="U38" s="201">
        <v>116683.03195168008</v>
      </c>
      <c r="V38" s="201">
        <v>113182.54099312969</v>
      </c>
      <c r="W38" s="201">
        <v>109787.06476333577</v>
      </c>
    </row>
    <row r="39" spans="1:23" x14ac:dyDescent="0.25">
      <c r="A39" s="8" t="str">
        <v>Charging data function software</v>
      </c>
      <c r="B39" s="103"/>
      <c r="C39" s="22"/>
      <c r="D39" s="200">
        <v>440626.6302006332</v>
      </c>
      <c r="E39" s="200">
        <v>427407.83129461418</v>
      </c>
      <c r="F39" s="200">
        <v>414585.59635577578</v>
      </c>
      <c r="G39" s="200">
        <v>402148.02846510248</v>
      </c>
      <c r="H39" s="200">
        <v>390083.58761114936</v>
      </c>
      <c r="I39" s="200">
        <v>378381.0799828149</v>
      </c>
      <c r="J39" s="200">
        <v>367029.64758333046</v>
      </c>
      <c r="K39" s="201">
        <v>356018.75815583055</v>
      </c>
      <c r="L39" s="201">
        <v>345338.19541115558</v>
      </c>
      <c r="M39" s="201">
        <v>334978.04954882094</v>
      </c>
      <c r="N39" s="201">
        <v>324928.70806235628</v>
      </c>
      <c r="O39" s="201">
        <v>315180.84682048555</v>
      </c>
      <c r="P39" s="201">
        <v>305725.42141587101</v>
      </c>
      <c r="Q39" s="201">
        <v>296553.65877339494</v>
      </c>
      <c r="R39" s="201">
        <v>287657.04901019303</v>
      </c>
      <c r="S39" s="201">
        <v>279027.33753988723</v>
      </c>
      <c r="T39" s="201">
        <v>270656.51741369069</v>
      </c>
      <c r="U39" s="201">
        <v>262536.82189127995</v>
      </c>
      <c r="V39" s="201">
        <v>254660.71723454155</v>
      </c>
      <c r="W39" s="201">
        <v>247020.89571750525</v>
      </c>
    </row>
    <row r="40" spans="1:23" x14ac:dyDescent="0.25">
      <c r="A40" s="8" t="str">
        <v>Proxy - Call session control function hardware</v>
      </c>
      <c r="B40" s="103"/>
      <c r="C40" s="22"/>
      <c r="D40" s="200">
        <v>881253.26040126639</v>
      </c>
      <c r="E40" s="200">
        <v>854815.66258922836</v>
      </c>
      <c r="F40" s="200">
        <v>829171.19271155156</v>
      </c>
      <c r="G40" s="200">
        <v>804296.05693020497</v>
      </c>
      <c r="H40" s="200">
        <v>780167.17522229871</v>
      </c>
      <c r="I40" s="200">
        <v>756762.15996562981</v>
      </c>
      <c r="J40" s="200">
        <v>734059.29516666092</v>
      </c>
      <c r="K40" s="201">
        <v>712037.51631166111</v>
      </c>
      <c r="L40" s="201">
        <v>690676.39082231116</v>
      </c>
      <c r="M40" s="201">
        <v>669956.09909764188</v>
      </c>
      <c r="N40" s="201">
        <v>649857.41612471256</v>
      </c>
      <c r="O40" s="201">
        <v>630361.69364097109</v>
      </c>
      <c r="P40" s="201">
        <v>611450.84283174202</v>
      </c>
      <c r="Q40" s="201">
        <v>593107.31754678988</v>
      </c>
      <c r="R40" s="201">
        <v>575314.09802038607</v>
      </c>
      <c r="S40" s="201">
        <v>558054.67507977446</v>
      </c>
      <c r="T40" s="201">
        <v>541313.03482738137</v>
      </c>
      <c r="U40" s="201">
        <v>525073.6437825599</v>
      </c>
      <c r="V40" s="201">
        <v>509321.43446908309</v>
      </c>
      <c r="W40" s="201">
        <v>494041.7914350105</v>
      </c>
    </row>
    <row r="41" spans="1:23" x14ac:dyDescent="0.25">
      <c r="A41" s="8" t="str">
        <v>Proxy - Call session control function software</v>
      </c>
      <c r="B41" s="103"/>
      <c r="C41" s="22"/>
      <c r="D41" s="200">
        <v>391668.11573389656</v>
      </c>
      <c r="E41" s="200">
        <v>379918.07226187963</v>
      </c>
      <c r="F41" s="200">
        <v>368520.53009402327</v>
      </c>
      <c r="G41" s="200">
        <v>357464.91419120255</v>
      </c>
      <c r="H41" s="200">
        <v>346740.9667654665</v>
      </c>
      <c r="I41" s="200">
        <v>336338.73776250245</v>
      </c>
      <c r="J41" s="200">
        <v>326248.57562962739</v>
      </c>
      <c r="K41" s="201">
        <v>316461.11836073856</v>
      </c>
      <c r="L41" s="201">
        <v>306967.28480991645</v>
      </c>
      <c r="M41" s="201">
        <v>297758.26626561891</v>
      </c>
      <c r="N41" s="201">
        <v>288825.51827765029</v>
      </c>
      <c r="O41" s="201">
        <v>280160.75272932078</v>
      </c>
      <c r="P41" s="201">
        <v>271755.93014744116</v>
      </c>
      <c r="Q41" s="201">
        <v>263603.25224301795</v>
      </c>
      <c r="R41" s="201">
        <v>255695.15467572742</v>
      </c>
      <c r="S41" s="201">
        <v>248024.30003545558</v>
      </c>
      <c r="T41" s="201">
        <v>240583.57103439191</v>
      </c>
      <c r="U41" s="201">
        <v>233366.06390336016</v>
      </c>
      <c r="V41" s="201">
        <v>226365.08198625938</v>
      </c>
      <c r="W41" s="201">
        <v>219574.12952667155</v>
      </c>
    </row>
    <row r="42" spans="1:23" x14ac:dyDescent="0.25">
      <c r="A42" s="8" t="str">
        <v>Interrogating - Call session control function hardware</v>
      </c>
      <c r="B42" s="103"/>
      <c r="C42" s="22"/>
      <c r="D42" s="200">
        <v>881253.26040126639</v>
      </c>
      <c r="E42" s="200">
        <v>854815.66258922836</v>
      </c>
      <c r="F42" s="200">
        <v>829171.19271155156</v>
      </c>
      <c r="G42" s="200">
        <v>804296.05693020497</v>
      </c>
      <c r="H42" s="200">
        <v>780167.17522229871</v>
      </c>
      <c r="I42" s="200">
        <v>756762.15996562981</v>
      </c>
      <c r="J42" s="200">
        <v>734059.29516666092</v>
      </c>
      <c r="K42" s="201">
        <v>712037.51631166111</v>
      </c>
      <c r="L42" s="201">
        <v>690676.39082231116</v>
      </c>
      <c r="M42" s="201">
        <v>669956.09909764188</v>
      </c>
      <c r="N42" s="201">
        <v>649857.41612471256</v>
      </c>
      <c r="O42" s="201">
        <v>630361.69364097109</v>
      </c>
      <c r="P42" s="201">
        <v>611450.84283174202</v>
      </c>
      <c r="Q42" s="201">
        <v>593107.31754678988</v>
      </c>
      <c r="R42" s="201">
        <v>575314.09802038607</v>
      </c>
      <c r="S42" s="201">
        <v>558054.67507977446</v>
      </c>
      <c r="T42" s="201">
        <v>541313.03482738137</v>
      </c>
      <c r="U42" s="201">
        <v>525073.6437825599</v>
      </c>
      <c r="V42" s="201">
        <v>509321.43446908309</v>
      </c>
      <c r="W42" s="201">
        <v>494041.7914350105</v>
      </c>
    </row>
    <row r="43" spans="1:23" x14ac:dyDescent="0.25">
      <c r="A43" s="8" t="str">
        <v>Interrogating - Call session control function software</v>
      </c>
      <c r="B43" s="103"/>
      <c r="C43" s="22"/>
      <c r="D43" s="200">
        <v>391668.11573389656</v>
      </c>
      <c r="E43" s="200">
        <v>379918.07226187963</v>
      </c>
      <c r="F43" s="200">
        <v>368520.53009402327</v>
      </c>
      <c r="G43" s="200">
        <v>357464.91419120255</v>
      </c>
      <c r="H43" s="200">
        <v>346740.9667654665</v>
      </c>
      <c r="I43" s="200">
        <v>336338.73776250245</v>
      </c>
      <c r="J43" s="200">
        <v>326248.57562962739</v>
      </c>
      <c r="K43" s="201">
        <v>316461.11836073856</v>
      </c>
      <c r="L43" s="201">
        <v>306967.28480991645</v>
      </c>
      <c r="M43" s="201">
        <v>297758.26626561891</v>
      </c>
      <c r="N43" s="201">
        <v>288825.51827765029</v>
      </c>
      <c r="O43" s="201">
        <v>280160.75272932078</v>
      </c>
      <c r="P43" s="201">
        <v>271755.93014744116</v>
      </c>
      <c r="Q43" s="201">
        <v>263603.25224301795</v>
      </c>
      <c r="R43" s="201">
        <v>255695.15467572742</v>
      </c>
      <c r="S43" s="201">
        <v>248024.30003545558</v>
      </c>
      <c r="T43" s="201">
        <v>240583.57103439191</v>
      </c>
      <c r="U43" s="201">
        <v>233366.06390336016</v>
      </c>
      <c r="V43" s="201">
        <v>226365.08198625938</v>
      </c>
      <c r="W43" s="201">
        <v>219574.12952667155</v>
      </c>
    </row>
    <row r="44" spans="1:23" x14ac:dyDescent="0.25">
      <c r="A44" s="8" t="str">
        <v>Serving - Call session control function hardware</v>
      </c>
      <c r="B44" s="103"/>
      <c r="C44" s="22"/>
      <c r="D44" s="200">
        <v>73437.771700105557</v>
      </c>
      <c r="E44" s="200">
        <v>71234.638549102398</v>
      </c>
      <c r="F44" s="200">
        <v>69097.599392629316</v>
      </c>
      <c r="G44" s="200">
        <v>67024.671410850438</v>
      </c>
      <c r="H44" s="200">
        <v>65013.931268524924</v>
      </c>
      <c r="I44" s="200">
        <v>63063.51333046917</v>
      </c>
      <c r="J44" s="200">
        <v>61171.607930555096</v>
      </c>
      <c r="K44" s="201">
        <v>59336.459692638447</v>
      </c>
      <c r="L44" s="201">
        <v>57556.365901859295</v>
      </c>
      <c r="M44" s="201">
        <v>55829.674924803505</v>
      </c>
      <c r="N44" s="201">
        <v>54154.784677059404</v>
      </c>
      <c r="O44" s="201">
        <v>52530.141136747618</v>
      </c>
      <c r="P44" s="201">
        <v>50954.236902645185</v>
      </c>
      <c r="Q44" s="201">
        <v>49425.609795565833</v>
      </c>
      <c r="R44" s="201">
        <v>47942.841501698858</v>
      </c>
      <c r="S44" s="201">
        <v>46504.556256647891</v>
      </c>
      <c r="T44" s="201">
        <v>45109.419568948455</v>
      </c>
      <c r="U44" s="201">
        <v>43756.136981880009</v>
      </c>
      <c r="V44" s="201">
        <v>42443.452872423601</v>
      </c>
      <c r="W44" s="201">
        <v>41170.149286250897</v>
      </c>
    </row>
    <row r="45" spans="1:23" x14ac:dyDescent="0.25">
      <c r="A45" s="8" t="str">
        <v>Serving - Call session control function software</v>
      </c>
      <c r="B45" s="103"/>
      <c r="C45" s="22"/>
      <c r="D45" s="200">
        <v>489585.14466737077</v>
      </c>
      <c r="E45" s="200">
        <v>474897.59032734967</v>
      </c>
      <c r="F45" s="200">
        <v>460650.6626175291</v>
      </c>
      <c r="G45" s="200">
        <v>446831.14273900323</v>
      </c>
      <c r="H45" s="200">
        <v>433426.20845683315</v>
      </c>
      <c r="I45" s="200">
        <v>420423.42220312817</v>
      </c>
      <c r="J45" s="200">
        <v>407810.71953703434</v>
      </c>
      <c r="K45" s="201">
        <v>395576.3979509233</v>
      </c>
      <c r="L45" s="201">
        <v>383709.10601239558</v>
      </c>
      <c r="M45" s="201">
        <v>372197.83283202368</v>
      </c>
      <c r="N45" s="201">
        <v>361031.89784706297</v>
      </c>
      <c r="O45" s="201">
        <v>350200.94091165101</v>
      </c>
      <c r="P45" s="201">
        <v>339694.9126843015</v>
      </c>
      <c r="Q45" s="201">
        <v>329504.06530377246</v>
      </c>
      <c r="R45" s="201">
        <v>319618.94334465929</v>
      </c>
      <c r="S45" s="201">
        <v>310030.37504431955</v>
      </c>
      <c r="T45" s="201">
        <v>300729.46379298996</v>
      </c>
      <c r="U45" s="201">
        <v>291707.5798792002</v>
      </c>
      <c r="V45" s="201">
        <v>282956.35248282424</v>
      </c>
      <c r="W45" s="201">
        <v>274467.66190833948</v>
      </c>
    </row>
    <row r="46" spans="1:23" x14ac:dyDescent="0.25">
      <c r="A46" s="8" t="str">
        <v>Media resource function - hardware</v>
      </c>
      <c r="B46" s="103"/>
      <c r="C46" s="22"/>
      <c r="D46" s="200">
        <v>9791.7028933474139</v>
      </c>
      <c r="E46" s="200">
        <v>9497.9518065469911</v>
      </c>
      <c r="F46" s="200">
        <v>9213.0132523505818</v>
      </c>
      <c r="G46" s="200">
        <v>8936.6228547800638</v>
      </c>
      <c r="H46" s="200">
        <v>8668.5241691366609</v>
      </c>
      <c r="I46" s="200">
        <v>8408.4684440625606</v>
      </c>
      <c r="J46" s="200">
        <v>8156.2143907406844</v>
      </c>
      <c r="K46" s="201">
        <v>7911.5279590184637</v>
      </c>
      <c r="L46" s="201">
        <v>7674.1821202479105</v>
      </c>
      <c r="M46" s="201">
        <v>7443.9566566404719</v>
      </c>
      <c r="N46" s="201">
        <v>7220.6379569412584</v>
      </c>
      <c r="O46" s="201">
        <v>7004.0188182330203</v>
      </c>
      <c r="P46" s="201">
        <v>6793.8982536860294</v>
      </c>
      <c r="Q46" s="201">
        <v>6590.081306075449</v>
      </c>
      <c r="R46" s="201">
        <v>6392.3788668931857</v>
      </c>
      <c r="S46" s="201">
        <v>6200.60750088639</v>
      </c>
      <c r="T46" s="201">
        <v>6014.5892758597984</v>
      </c>
      <c r="U46" s="201">
        <v>5834.1515975840048</v>
      </c>
      <c r="V46" s="201">
        <v>5659.1270496564839</v>
      </c>
      <c r="W46" s="201">
        <v>5489.3532381667892</v>
      </c>
    </row>
    <row r="47" spans="1:23" x14ac:dyDescent="0.25">
      <c r="A47" s="8" t="str">
        <v>Media resource function - software</v>
      </c>
      <c r="B47" s="103"/>
      <c r="C47" s="22"/>
      <c r="D47" s="200">
        <v>4895.851446673707</v>
      </c>
      <c r="E47" s="200">
        <v>4748.9759032734955</v>
      </c>
      <c r="F47" s="200">
        <v>4606.5066261752909</v>
      </c>
      <c r="G47" s="200">
        <v>4468.3114273900319</v>
      </c>
      <c r="H47" s="200">
        <v>4334.2620845683305</v>
      </c>
      <c r="I47" s="200">
        <v>4204.2342220312803</v>
      </c>
      <c r="J47" s="200">
        <v>4078.1071953703422</v>
      </c>
      <c r="K47" s="201">
        <v>3955.7639795092318</v>
      </c>
      <c r="L47" s="201">
        <v>3837.0910601239552</v>
      </c>
      <c r="M47" s="201">
        <v>3721.978328320236</v>
      </c>
      <c r="N47" s="201">
        <v>3610.3189784706292</v>
      </c>
      <c r="O47" s="201">
        <v>3502.0094091165101</v>
      </c>
      <c r="P47" s="201">
        <v>3396.9491268430147</v>
      </c>
      <c r="Q47" s="201">
        <v>3295.0406530377245</v>
      </c>
      <c r="R47" s="201">
        <v>3196.1894334465928</v>
      </c>
      <c r="S47" s="201">
        <v>3100.303750443195</v>
      </c>
      <c r="T47" s="201">
        <v>3007.2946379298992</v>
      </c>
      <c r="U47" s="201">
        <v>2917.0757987920024</v>
      </c>
      <c r="V47" s="201">
        <v>2829.563524828242</v>
      </c>
      <c r="W47" s="201">
        <v>2744.6766190833946</v>
      </c>
    </row>
    <row r="48" spans="1:23" x14ac:dyDescent="0.25">
      <c r="A48" s="22" t="str">
        <v>Access session border controller - hardware</v>
      </c>
      <c r="B48" s="22"/>
      <c r="C48" s="8"/>
      <c r="D48" s="200">
        <v>24479.257233368491</v>
      </c>
      <c r="E48" s="200">
        <v>23744.879516367437</v>
      </c>
      <c r="F48" s="200">
        <v>23032.533130876411</v>
      </c>
      <c r="G48" s="200">
        <v>22341.557136950119</v>
      </c>
      <c r="H48" s="200">
        <v>21671.310422841616</v>
      </c>
      <c r="I48" s="200">
        <v>21021.171110156367</v>
      </c>
      <c r="J48" s="200">
        <v>20390.535976851676</v>
      </c>
      <c r="K48" s="200">
        <v>19778.819897546124</v>
      </c>
      <c r="L48" s="200">
        <v>19185.455300619742</v>
      </c>
      <c r="M48" s="200">
        <v>18609.891641601145</v>
      </c>
      <c r="N48" s="200">
        <v>18051.59489235311</v>
      </c>
      <c r="O48" s="200">
        <v>17510.04704558252</v>
      </c>
      <c r="P48" s="200">
        <v>16984.745634215044</v>
      </c>
      <c r="Q48" s="200">
        <v>16475.203265188593</v>
      </c>
      <c r="R48" s="200">
        <v>15980.947167232935</v>
      </c>
      <c r="S48" s="200">
        <v>15501.518752215945</v>
      </c>
      <c r="T48" s="200">
        <v>15036.473189649469</v>
      </c>
      <c r="U48" s="200">
        <v>14585.378993959985</v>
      </c>
      <c r="V48" s="200">
        <v>14147.817624141184</v>
      </c>
      <c r="W48" s="200">
        <v>13723.383095416948</v>
      </c>
    </row>
    <row r="49" spans="1:24" x14ac:dyDescent="0.25">
      <c r="A49" s="22" t="str">
        <v>Access session border controller - software</v>
      </c>
      <c r="B49" s="22"/>
      <c r="C49" s="22"/>
      <c r="D49" s="202">
        <v>12239.628616684289</v>
      </c>
      <c r="E49" s="202">
        <v>11872.43975818376</v>
      </c>
      <c r="F49" s="202">
        <v>11516.266565438247</v>
      </c>
      <c r="G49" s="202">
        <v>11170.7785684751</v>
      </c>
      <c r="H49" s="202">
        <v>10835.655211420846</v>
      </c>
      <c r="I49" s="202">
        <v>10510.58555507822</v>
      </c>
      <c r="J49" s="202">
        <v>10195.267988425874</v>
      </c>
      <c r="K49" s="202">
        <v>9889.4099487731</v>
      </c>
      <c r="L49" s="202">
        <v>9592.7276503099056</v>
      </c>
      <c r="M49" s="202">
        <v>9304.9458208006072</v>
      </c>
      <c r="N49" s="202">
        <v>9025.7974461765898</v>
      </c>
      <c r="O49" s="202">
        <v>8755.0235227912908</v>
      </c>
      <c r="P49" s="202">
        <v>8492.3728171075527</v>
      </c>
      <c r="Q49" s="202">
        <v>8237.6016325943256</v>
      </c>
      <c r="R49" s="202">
        <v>7990.4735836164955</v>
      </c>
      <c r="S49" s="202">
        <v>7750.7593761080007</v>
      </c>
      <c r="T49" s="202">
        <v>7518.2365948247616</v>
      </c>
      <c r="U49" s="202">
        <v>7292.6894969800187</v>
      </c>
      <c r="V49" s="202">
        <v>7073.9088120706174</v>
      </c>
      <c r="W49" s="202">
        <v>6861.6915477084995</v>
      </c>
    </row>
    <row r="50" spans="1:24" x14ac:dyDescent="0.25">
      <c r="A50" s="22" t="str">
        <v>Internet exchange point session border controller - hardware</v>
      </c>
      <c r="B50" s="22"/>
      <c r="C50" s="22"/>
      <c r="D50" s="200">
        <v>18359.442925026342</v>
      </c>
      <c r="E50" s="200">
        <v>17808.659637275552</v>
      </c>
      <c r="F50" s="200">
        <v>17274.399848157282</v>
      </c>
      <c r="G50" s="200">
        <v>16756.167852712566</v>
      </c>
      <c r="H50" s="200">
        <v>16253.482817131187</v>
      </c>
      <c r="I50" s="200">
        <v>15765.878332617252</v>
      </c>
      <c r="J50" s="200">
        <v>15292.901982638734</v>
      </c>
      <c r="K50" s="200">
        <v>14834.114923159572</v>
      </c>
      <c r="L50" s="200">
        <v>14389.091475464786</v>
      </c>
      <c r="M50" s="200">
        <v>13957.41873120084</v>
      </c>
      <c r="N50" s="200">
        <v>13538.696169264815</v>
      </c>
      <c r="O50" s="200">
        <v>13132.535284186868</v>
      </c>
      <c r="P50" s="200">
        <v>12738.559225661265</v>
      </c>
      <c r="Q50" s="200">
        <v>12356.402448891426</v>
      </c>
      <c r="R50" s="200">
        <v>11985.710375424682</v>
      </c>
      <c r="S50" s="200">
        <v>11626.139064161942</v>
      </c>
      <c r="T50" s="200">
        <v>11277.354892237085</v>
      </c>
      <c r="U50" s="200">
        <v>10939.034245469973</v>
      </c>
      <c r="V50" s="200">
        <v>10610.863218105875</v>
      </c>
      <c r="W50" s="200">
        <v>10292.537321562695</v>
      </c>
    </row>
    <row r="51" spans="1:24" x14ac:dyDescent="0.25">
      <c r="A51" s="22" t="str">
        <v>Internet exchange point session border controller - software</v>
      </c>
      <c r="B51" s="22"/>
      <c r="C51" s="22"/>
      <c r="D51" s="200">
        <v>36718.885850052779</v>
      </c>
      <c r="E51" s="200">
        <v>35617.319274551199</v>
      </c>
      <c r="F51" s="200">
        <v>34548.799696314658</v>
      </c>
      <c r="G51" s="200">
        <v>33512.335705425219</v>
      </c>
      <c r="H51" s="200">
        <v>32506.965634262462</v>
      </c>
      <c r="I51" s="200">
        <v>31531.756665234585</v>
      </c>
      <c r="J51" s="200">
        <v>30585.803965277548</v>
      </c>
      <c r="K51" s="200">
        <v>29668.229846319224</v>
      </c>
      <c r="L51" s="200">
        <v>28778.182950929648</v>
      </c>
      <c r="M51" s="200">
        <v>27914.837462401752</v>
      </c>
      <c r="N51" s="200">
        <v>27077.392338529702</v>
      </c>
      <c r="O51" s="200">
        <v>26265.070568373809</v>
      </c>
      <c r="P51" s="200">
        <v>25477.118451322593</v>
      </c>
      <c r="Q51" s="200">
        <v>24712.804897782917</v>
      </c>
      <c r="R51" s="200">
        <v>23971.420750849429</v>
      </c>
      <c r="S51" s="200">
        <v>23252.278128323946</v>
      </c>
      <c r="T51" s="200">
        <v>22554.709784474227</v>
      </c>
      <c r="U51" s="200">
        <v>21878.068490940004</v>
      </c>
      <c r="V51" s="200">
        <v>21221.7264362118</v>
      </c>
      <c r="W51" s="200">
        <v>20585.074643125448</v>
      </c>
      <c r="X51" s="6" t="s">
        <v>293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256F-E1E0-4B41-B532-79A7FABE58DA}">
  <sheetPr>
    <tabColor theme="3" tint="0.79998168889431442"/>
  </sheetPr>
  <dimension ref="B2"/>
  <sheetViews>
    <sheetView workbookViewId="0">
      <selection activeCell="J15" sqref="J15"/>
    </sheetView>
  </sheetViews>
  <sheetFormatPr defaultColWidth="8.5703125" defaultRowHeight="15" x14ac:dyDescent="0.25"/>
  <cols>
    <col min="1" max="16384" width="8.5703125" style="17"/>
  </cols>
  <sheetData>
    <row r="2" spans="2:2" x14ac:dyDescent="0.25">
      <c r="B2" s="17" t="s">
        <v>202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69F4-9B63-4AF4-8FCD-55253D5DAA99}">
  <dimension ref="A1:K81"/>
  <sheetViews>
    <sheetView workbookViewId="0">
      <selection sqref="A1:XFD1"/>
    </sheetView>
  </sheetViews>
  <sheetFormatPr defaultColWidth="8.5703125" defaultRowHeight="15" x14ac:dyDescent="0.25"/>
  <cols>
    <col min="1" max="1" width="8.5703125" style="17"/>
    <col min="2" max="2" width="14.42578125" style="17" customWidth="1"/>
    <col min="3" max="3" width="15.7109375" style="44" customWidth="1"/>
    <col min="4" max="6" width="8.5703125" style="17"/>
    <col min="7" max="7" width="33.85546875" style="17" customWidth="1"/>
    <col min="8" max="8" width="10.7109375" style="17" customWidth="1"/>
    <col min="9" max="10" width="8.5703125" style="17"/>
    <col min="11" max="11" width="11" style="17" customWidth="1"/>
    <col min="12" max="16384" width="8.5703125" style="17"/>
  </cols>
  <sheetData>
    <row r="1" spans="1:11" x14ac:dyDescent="0.25">
      <c r="A1" s="102" t="s">
        <v>294</v>
      </c>
      <c r="B1" s="99"/>
      <c r="C1" s="187"/>
      <c r="D1" s="100"/>
      <c r="E1" s="100"/>
      <c r="F1" s="100"/>
      <c r="G1" s="100"/>
      <c r="H1" s="100"/>
      <c r="I1" s="100"/>
      <c r="J1" s="100"/>
      <c r="K1" s="100"/>
    </row>
    <row r="2" spans="1:11" x14ac:dyDescent="0.25">
      <c r="A2" s="101"/>
      <c r="B2" s="100"/>
      <c r="C2" s="188"/>
      <c r="D2" s="100"/>
      <c r="E2" s="100"/>
      <c r="F2" s="100"/>
      <c r="G2" s="100"/>
      <c r="H2" s="100"/>
      <c r="I2" s="100"/>
      <c r="J2" s="100"/>
      <c r="K2" s="100"/>
    </row>
    <row r="3" spans="1:11" x14ac:dyDescent="0.25">
      <c r="B3" s="189"/>
    </row>
    <row r="4" spans="1:11" x14ac:dyDescent="0.25">
      <c r="B4" s="22"/>
      <c r="C4" s="47"/>
    </row>
    <row r="5" spans="1:11" x14ac:dyDescent="0.25">
      <c r="B5" s="22"/>
      <c r="C5" s="22"/>
      <c r="F5" s="190"/>
      <c r="G5" s="190"/>
      <c r="H5" s="191"/>
      <c r="I5" s="22"/>
    </row>
    <row r="6" spans="1:11" x14ac:dyDescent="0.25">
      <c r="B6" s="87"/>
      <c r="C6" s="46"/>
      <c r="D6" s="192"/>
      <c r="F6" s="22"/>
      <c r="G6" s="22"/>
      <c r="H6" s="22"/>
      <c r="I6" s="47"/>
    </row>
    <row r="7" spans="1:11" x14ac:dyDescent="0.25">
      <c r="B7" s="193"/>
      <c r="C7" s="194"/>
    </row>
    <row r="8" spans="1:11" x14ac:dyDescent="0.25">
      <c r="B8" s="193"/>
      <c r="C8" s="194"/>
      <c r="H8" s="28"/>
    </row>
    <row r="9" spans="1:11" x14ac:dyDescent="0.25">
      <c r="B9" s="193"/>
      <c r="C9" s="194"/>
    </row>
    <row r="10" spans="1:11" x14ac:dyDescent="0.25">
      <c r="B10" s="193"/>
      <c r="C10" s="194"/>
    </row>
    <row r="11" spans="1:11" x14ac:dyDescent="0.25">
      <c r="B11" s="193"/>
      <c r="C11" s="194"/>
    </row>
    <row r="12" spans="1:11" x14ac:dyDescent="0.25">
      <c r="B12" s="193"/>
      <c r="C12" s="194"/>
    </row>
    <row r="13" spans="1:11" x14ac:dyDescent="0.25">
      <c r="B13" s="193"/>
      <c r="C13" s="194"/>
    </row>
    <row r="14" spans="1:11" x14ac:dyDescent="0.25">
      <c r="B14" s="193"/>
      <c r="C14" s="194"/>
    </row>
    <row r="15" spans="1:11" x14ac:dyDescent="0.25">
      <c r="B15" s="193"/>
      <c r="C15" s="194"/>
    </row>
    <row r="16" spans="1:11" x14ac:dyDescent="0.25">
      <c r="B16" s="193"/>
      <c r="C16" s="194"/>
    </row>
    <row r="17" spans="2:3" x14ac:dyDescent="0.25">
      <c r="B17" s="193"/>
      <c r="C17" s="194"/>
    </row>
    <row r="18" spans="2:3" x14ac:dyDescent="0.25">
      <c r="B18" s="193"/>
      <c r="C18" s="194"/>
    </row>
    <row r="19" spans="2:3" x14ac:dyDescent="0.25">
      <c r="B19" s="193"/>
      <c r="C19" s="194"/>
    </row>
    <row r="20" spans="2:3" x14ac:dyDescent="0.25">
      <c r="B20" s="193"/>
      <c r="C20" s="194"/>
    </row>
    <row r="21" spans="2:3" x14ac:dyDescent="0.25">
      <c r="B21" s="193"/>
      <c r="C21" s="194"/>
    </row>
    <row r="22" spans="2:3" x14ac:dyDescent="0.25">
      <c r="B22" s="193"/>
      <c r="C22" s="194"/>
    </row>
    <row r="23" spans="2:3" x14ac:dyDescent="0.25">
      <c r="B23" s="193"/>
      <c r="C23" s="194"/>
    </row>
    <row r="24" spans="2:3" x14ac:dyDescent="0.25">
      <c r="B24" s="193"/>
      <c r="C24" s="194"/>
    </row>
    <row r="25" spans="2:3" x14ac:dyDescent="0.25">
      <c r="B25" s="193"/>
      <c r="C25" s="194"/>
    </row>
    <row r="26" spans="2:3" x14ac:dyDescent="0.25">
      <c r="B26" s="193"/>
      <c r="C26" s="194"/>
    </row>
    <row r="27" spans="2:3" x14ac:dyDescent="0.25">
      <c r="B27" s="193"/>
      <c r="C27" s="194"/>
    </row>
    <row r="28" spans="2:3" x14ac:dyDescent="0.25">
      <c r="B28" s="193"/>
      <c r="C28" s="194"/>
    </row>
    <row r="29" spans="2:3" x14ac:dyDescent="0.25">
      <c r="B29" s="193"/>
      <c r="C29" s="194"/>
    </row>
    <row r="30" spans="2:3" x14ac:dyDescent="0.25">
      <c r="B30" s="193"/>
      <c r="C30" s="194"/>
    </row>
    <row r="31" spans="2:3" x14ac:dyDescent="0.25">
      <c r="B31" s="193"/>
      <c r="C31" s="194"/>
    </row>
    <row r="32" spans="2:3" x14ac:dyDescent="0.25">
      <c r="B32" s="193"/>
      <c r="C32" s="194"/>
    </row>
    <row r="33" spans="2:3" x14ac:dyDescent="0.25">
      <c r="B33" s="193"/>
      <c r="C33" s="194"/>
    </row>
    <row r="34" spans="2:3" x14ac:dyDescent="0.25">
      <c r="B34" s="193"/>
      <c r="C34" s="194"/>
    </row>
    <row r="35" spans="2:3" x14ac:dyDescent="0.25">
      <c r="B35" s="193"/>
      <c r="C35" s="194"/>
    </row>
    <row r="36" spans="2:3" x14ac:dyDescent="0.25">
      <c r="B36" s="193"/>
      <c r="C36" s="194"/>
    </row>
    <row r="37" spans="2:3" x14ac:dyDescent="0.25">
      <c r="B37" s="193"/>
      <c r="C37" s="194"/>
    </row>
    <row r="38" spans="2:3" x14ac:dyDescent="0.25">
      <c r="B38" s="193"/>
      <c r="C38" s="194"/>
    </row>
    <row r="39" spans="2:3" x14ac:dyDescent="0.25">
      <c r="B39" s="193"/>
      <c r="C39" s="194"/>
    </row>
    <row r="40" spans="2:3" x14ac:dyDescent="0.25">
      <c r="B40" s="193"/>
      <c r="C40" s="194"/>
    </row>
    <row r="41" spans="2:3" x14ac:dyDescent="0.25">
      <c r="B41" s="193"/>
      <c r="C41" s="194"/>
    </row>
    <row r="42" spans="2:3" x14ac:dyDescent="0.25">
      <c r="B42" s="193"/>
      <c r="C42" s="194"/>
    </row>
    <row r="43" spans="2:3" x14ac:dyDescent="0.25">
      <c r="B43" s="193"/>
      <c r="C43" s="194"/>
    </row>
    <row r="44" spans="2:3" x14ac:dyDescent="0.25">
      <c r="B44" s="193"/>
      <c r="C44" s="194"/>
    </row>
    <row r="45" spans="2:3" x14ac:dyDescent="0.25">
      <c r="B45" s="193"/>
      <c r="C45" s="194"/>
    </row>
    <row r="46" spans="2:3" x14ac:dyDescent="0.25">
      <c r="B46" s="193"/>
      <c r="C46" s="194"/>
    </row>
    <row r="47" spans="2:3" x14ac:dyDescent="0.25">
      <c r="B47" s="193"/>
      <c r="C47" s="194"/>
    </row>
    <row r="48" spans="2:3" x14ac:dyDescent="0.25">
      <c r="B48" s="193"/>
      <c r="C48" s="194"/>
    </row>
    <row r="49" spans="2:3" x14ac:dyDescent="0.25">
      <c r="B49" s="193"/>
      <c r="C49" s="194"/>
    </row>
    <row r="50" spans="2:3" x14ac:dyDescent="0.25">
      <c r="B50" s="193"/>
      <c r="C50" s="194"/>
    </row>
    <row r="51" spans="2:3" x14ac:dyDescent="0.25">
      <c r="B51" s="193"/>
      <c r="C51" s="194"/>
    </row>
    <row r="52" spans="2:3" x14ac:dyDescent="0.25">
      <c r="B52" s="193"/>
      <c r="C52" s="194"/>
    </row>
    <row r="53" spans="2:3" x14ac:dyDescent="0.25">
      <c r="B53" s="193"/>
      <c r="C53" s="194"/>
    </row>
    <row r="54" spans="2:3" x14ac:dyDescent="0.25">
      <c r="B54" s="193"/>
      <c r="C54" s="194"/>
    </row>
    <row r="55" spans="2:3" x14ac:dyDescent="0.25">
      <c r="B55" s="193"/>
      <c r="C55" s="194"/>
    </row>
    <row r="56" spans="2:3" x14ac:dyDescent="0.25">
      <c r="B56" s="193"/>
      <c r="C56" s="194"/>
    </row>
    <row r="57" spans="2:3" x14ac:dyDescent="0.25">
      <c r="B57" s="193"/>
      <c r="C57" s="194"/>
    </row>
    <row r="58" spans="2:3" x14ac:dyDescent="0.25">
      <c r="B58" s="193"/>
      <c r="C58" s="194"/>
    </row>
    <row r="59" spans="2:3" x14ac:dyDescent="0.25">
      <c r="B59" s="193"/>
      <c r="C59" s="194"/>
    </row>
    <row r="60" spans="2:3" x14ac:dyDescent="0.25">
      <c r="B60" s="193"/>
      <c r="C60" s="194"/>
    </row>
    <row r="61" spans="2:3" x14ac:dyDescent="0.25">
      <c r="B61" s="193"/>
      <c r="C61" s="194"/>
    </row>
    <row r="62" spans="2:3" x14ac:dyDescent="0.25">
      <c r="B62" s="193"/>
      <c r="C62" s="194"/>
    </row>
    <row r="63" spans="2:3" x14ac:dyDescent="0.25">
      <c r="B63" s="193"/>
      <c r="C63" s="194"/>
    </row>
    <row r="64" spans="2:3" x14ac:dyDescent="0.25">
      <c r="B64" s="193"/>
      <c r="C64" s="194"/>
    </row>
    <row r="65" spans="2:3" x14ac:dyDescent="0.25">
      <c r="B65" s="193"/>
      <c r="C65" s="194"/>
    </row>
    <row r="66" spans="2:3" x14ac:dyDescent="0.25">
      <c r="B66" s="193"/>
      <c r="C66" s="194"/>
    </row>
    <row r="67" spans="2:3" x14ac:dyDescent="0.25">
      <c r="B67" s="193"/>
      <c r="C67" s="194"/>
    </row>
    <row r="68" spans="2:3" x14ac:dyDescent="0.25">
      <c r="B68" s="193"/>
      <c r="C68" s="194"/>
    </row>
    <row r="69" spans="2:3" x14ac:dyDescent="0.25">
      <c r="B69" s="193"/>
      <c r="C69" s="194"/>
    </row>
    <row r="70" spans="2:3" x14ac:dyDescent="0.25">
      <c r="B70" s="193"/>
      <c r="C70" s="194"/>
    </row>
    <row r="71" spans="2:3" x14ac:dyDescent="0.25">
      <c r="B71" s="193"/>
      <c r="C71" s="194"/>
    </row>
    <row r="72" spans="2:3" x14ac:dyDescent="0.25">
      <c r="B72" s="193"/>
      <c r="C72" s="194"/>
    </row>
    <row r="73" spans="2:3" x14ac:dyDescent="0.25">
      <c r="B73" s="193"/>
      <c r="C73" s="194"/>
    </row>
    <row r="74" spans="2:3" x14ac:dyDescent="0.25">
      <c r="B74" s="193"/>
      <c r="C74" s="194"/>
    </row>
    <row r="75" spans="2:3" x14ac:dyDescent="0.25">
      <c r="B75" s="193"/>
      <c r="C75" s="194"/>
    </row>
    <row r="76" spans="2:3" x14ac:dyDescent="0.25">
      <c r="B76" s="193"/>
      <c r="C76" s="194"/>
    </row>
    <row r="77" spans="2:3" x14ac:dyDescent="0.25">
      <c r="B77" s="193"/>
      <c r="C77" s="194"/>
    </row>
    <row r="78" spans="2:3" x14ac:dyDescent="0.25">
      <c r="B78" s="193"/>
      <c r="C78" s="194"/>
    </row>
    <row r="79" spans="2:3" x14ac:dyDescent="0.25">
      <c r="B79" s="193"/>
      <c r="C79" s="194"/>
    </row>
    <row r="80" spans="2:3" x14ac:dyDescent="0.25">
      <c r="B80" s="193"/>
      <c r="C80" s="194"/>
    </row>
    <row r="81" spans="2:3" x14ac:dyDescent="0.25">
      <c r="B81" s="193"/>
      <c r="C81" s="19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01A4-9C22-404D-8E84-8F0926AC5101}">
  <dimension ref="A1:AA65"/>
  <sheetViews>
    <sheetView topLeftCell="A85" workbookViewId="0">
      <selection activeCell="C58" sqref="C58"/>
    </sheetView>
  </sheetViews>
  <sheetFormatPr defaultColWidth="8.5703125" defaultRowHeight="15" x14ac:dyDescent="0.25"/>
  <cols>
    <col min="1" max="1" width="45.7109375" style="17" customWidth="1"/>
    <col min="2" max="2" width="25.7109375" style="17" customWidth="1"/>
    <col min="3" max="7" width="10.7109375" style="17" customWidth="1"/>
    <col min="8" max="27" width="15.7109375" style="17" customWidth="1"/>
    <col min="28" max="16384" width="8.5703125" style="17"/>
  </cols>
  <sheetData>
    <row r="1" spans="1:27" ht="18" x14ac:dyDescent="0.25">
      <c r="A1" s="97" t="s">
        <v>295</v>
      </c>
      <c r="B1" s="99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3" spans="1:27" x14ac:dyDescent="0.25">
      <c r="A3" s="54" t="s">
        <v>173</v>
      </c>
    </row>
    <row r="4" spans="1:27" x14ac:dyDescent="0.25">
      <c r="A4" s="34" t="s">
        <v>296</v>
      </c>
      <c r="B4" s="34" t="s">
        <v>297</v>
      </c>
      <c r="C4" s="53"/>
      <c r="D4" s="53"/>
      <c r="E4" s="53"/>
      <c r="F4" s="53"/>
      <c r="G4" s="53"/>
      <c r="H4" s="58">
        <v>2018</v>
      </c>
      <c r="I4" s="58">
        <v>2019</v>
      </c>
      <c r="J4" s="58">
        <v>2020</v>
      </c>
      <c r="K4" s="58">
        <v>2021</v>
      </c>
      <c r="L4" s="58">
        <v>2022</v>
      </c>
      <c r="M4" s="58">
        <v>2023</v>
      </c>
      <c r="N4" s="58">
        <v>2024</v>
      </c>
      <c r="O4" s="58">
        <v>2025</v>
      </c>
      <c r="P4" s="58">
        <v>2026</v>
      </c>
      <c r="Q4" s="58">
        <v>2027</v>
      </c>
      <c r="R4" s="58">
        <v>2028</v>
      </c>
      <c r="S4" s="58">
        <v>2029</v>
      </c>
      <c r="T4" s="58">
        <v>2030</v>
      </c>
      <c r="U4" s="58">
        <v>2031</v>
      </c>
      <c r="V4" s="58">
        <v>2032</v>
      </c>
      <c r="W4" s="58">
        <v>2033</v>
      </c>
      <c r="X4" s="58">
        <v>2034</v>
      </c>
      <c r="Y4" s="58">
        <v>2035</v>
      </c>
      <c r="Z4" s="58">
        <v>2036</v>
      </c>
      <c r="AA4" s="58">
        <v>2037</v>
      </c>
    </row>
    <row r="5" spans="1:27" x14ac:dyDescent="0.25">
      <c r="A5" s="49" t="s">
        <v>298</v>
      </c>
      <c r="B5" s="122" t="s">
        <v>299</v>
      </c>
      <c r="C5" s="221"/>
      <c r="D5" s="221"/>
      <c r="E5" s="221"/>
      <c r="F5" s="221"/>
      <c r="G5" s="221"/>
      <c r="H5" s="210">
        <f>4.7/100</f>
        <v>4.7E-2</v>
      </c>
      <c r="I5" s="210">
        <f>4.1/100</f>
        <v>4.0999999999999995E-2</v>
      </c>
      <c r="J5" s="210">
        <f>3.3/100</f>
        <v>3.3000000000000002E-2</v>
      </c>
      <c r="K5" s="210">
        <f>4.5/100</f>
        <v>4.4999999999999998E-2</v>
      </c>
      <c r="L5" s="210">
        <f>6.9/100</f>
        <v>6.9000000000000006E-2</v>
      </c>
      <c r="M5" s="210">
        <f>5.4/100</f>
        <v>5.4000000000000006E-2</v>
      </c>
      <c r="N5" s="210">
        <f>4.8/100</f>
        <v>4.8000000000000001E-2</v>
      </c>
      <c r="O5" s="210">
        <f t="shared" ref="O5:AA5" si="0">4.5/100</f>
        <v>4.4999999999999998E-2</v>
      </c>
      <c r="P5" s="210">
        <f t="shared" si="0"/>
        <v>4.4999999999999998E-2</v>
      </c>
      <c r="Q5" s="210">
        <f t="shared" si="0"/>
        <v>4.4999999999999998E-2</v>
      </c>
      <c r="R5" s="210">
        <f t="shared" si="0"/>
        <v>4.4999999999999998E-2</v>
      </c>
      <c r="S5" s="210">
        <f t="shared" si="0"/>
        <v>4.4999999999999998E-2</v>
      </c>
      <c r="T5" s="210">
        <f t="shared" si="0"/>
        <v>4.4999999999999998E-2</v>
      </c>
      <c r="U5" s="210">
        <f t="shared" si="0"/>
        <v>4.4999999999999998E-2</v>
      </c>
      <c r="V5" s="210">
        <f t="shared" si="0"/>
        <v>4.4999999999999998E-2</v>
      </c>
      <c r="W5" s="210">
        <f t="shared" si="0"/>
        <v>4.4999999999999998E-2</v>
      </c>
      <c r="X5" s="211">
        <f t="shared" si="0"/>
        <v>4.4999999999999998E-2</v>
      </c>
      <c r="Y5" s="211">
        <f t="shared" si="0"/>
        <v>4.4999999999999998E-2</v>
      </c>
      <c r="Z5" s="211">
        <f t="shared" si="0"/>
        <v>4.4999999999999998E-2</v>
      </c>
      <c r="AA5" s="211">
        <f t="shared" si="0"/>
        <v>4.4999999999999998E-2</v>
      </c>
    </row>
    <row r="6" spans="1:27" x14ac:dyDescent="0.25">
      <c r="A6" s="39" t="s">
        <v>300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</row>
    <row r="7" spans="1:27" x14ac:dyDescent="0.25">
      <c r="A7" s="42" t="s">
        <v>301</v>
      </c>
      <c r="B7" s="25" t="s">
        <v>302</v>
      </c>
      <c r="W7" s="43"/>
    </row>
    <row r="8" spans="1:27" x14ac:dyDescent="0.25">
      <c r="A8" s="42" t="s">
        <v>303</v>
      </c>
      <c r="B8" s="25" t="s">
        <v>304</v>
      </c>
      <c r="W8" s="43"/>
    </row>
    <row r="9" spans="1:27" ht="30" x14ac:dyDescent="0.25">
      <c r="A9" s="48" t="s">
        <v>305</v>
      </c>
      <c r="B9" s="25" t="s">
        <v>304</v>
      </c>
      <c r="W9" s="43"/>
    </row>
    <row r="10" spans="1:27" x14ac:dyDescent="0.25">
      <c r="A10" s="50" t="s">
        <v>306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</row>
    <row r="13" spans="1:27" x14ac:dyDescent="0.25">
      <c r="A13" s="54" t="s">
        <v>307</v>
      </c>
    </row>
    <row r="14" spans="1:27" x14ac:dyDescent="0.25">
      <c r="A14" s="35" t="s">
        <v>308</v>
      </c>
      <c r="B14" s="157"/>
      <c r="C14" s="58"/>
      <c r="D14" s="58"/>
      <c r="E14" s="58"/>
      <c r="F14" s="58"/>
      <c r="G14" s="58"/>
      <c r="H14" s="58">
        <f t="shared" ref="H14:AA14" si="1">H4</f>
        <v>2018</v>
      </c>
      <c r="I14" s="58">
        <f t="shared" si="1"/>
        <v>2019</v>
      </c>
      <c r="J14" s="58">
        <f t="shared" si="1"/>
        <v>2020</v>
      </c>
      <c r="K14" s="58">
        <f t="shared" si="1"/>
        <v>2021</v>
      </c>
      <c r="L14" s="58">
        <f t="shared" si="1"/>
        <v>2022</v>
      </c>
      <c r="M14" s="58">
        <f t="shared" si="1"/>
        <v>2023</v>
      </c>
      <c r="N14" s="58">
        <f t="shared" si="1"/>
        <v>2024</v>
      </c>
      <c r="O14" s="58">
        <f t="shared" si="1"/>
        <v>2025</v>
      </c>
      <c r="P14" s="58">
        <f t="shared" si="1"/>
        <v>2026</v>
      </c>
      <c r="Q14" s="58">
        <f t="shared" si="1"/>
        <v>2027</v>
      </c>
      <c r="R14" s="58">
        <f t="shared" si="1"/>
        <v>2028</v>
      </c>
      <c r="S14" s="58">
        <f t="shared" si="1"/>
        <v>2029</v>
      </c>
      <c r="T14" s="58">
        <f t="shared" si="1"/>
        <v>2030</v>
      </c>
      <c r="U14" s="58">
        <f t="shared" si="1"/>
        <v>2031</v>
      </c>
      <c r="V14" s="58">
        <f t="shared" si="1"/>
        <v>2032</v>
      </c>
      <c r="W14" s="58">
        <f t="shared" si="1"/>
        <v>2033</v>
      </c>
      <c r="X14" s="58">
        <f t="shared" si="1"/>
        <v>2034</v>
      </c>
      <c r="Y14" s="58">
        <f t="shared" si="1"/>
        <v>2035</v>
      </c>
      <c r="Z14" s="58">
        <f t="shared" si="1"/>
        <v>2036</v>
      </c>
      <c r="AA14" s="58">
        <f t="shared" si="1"/>
        <v>2037</v>
      </c>
    </row>
    <row r="15" spans="1:27" x14ac:dyDescent="0.25">
      <c r="A15" s="112" t="s">
        <v>309</v>
      </c>
      <c r="B15" s="40" t="s">
        <v>310</v>
      </c>
      <c r="C15" s="45"/>
      <c r="D15" s="45"/>
      <c r="E15" s="45"/>
      <c r="F15" s="45"/>
      <c r="G15" s="45"/>
      <c r="H15" s="45"/>
      <c r="I15" s="45"/>
      <c r="J15" s="45"/>
      <c r="K15" s="45"/>
      <c r="L15" s="156">
        <f>6.58/100</f>
        <v>6.5799999999999997E-2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5">
      <c r="A16" s="42" t="s">
        <v>311</v>
      </c>
      <c r="B16" s="17" t="s">
        <v>310</v>
      </c>
      <c r="C16" s="22"/>
      <c r="D16" s="22"/>
      <c r="E16" s="22"/>
      <c r="F16" s="22"/>
      <c r="G16" s="22"/>
      <c r="H16" s="22"/>
      <c r="I16" s="22"/>
      <c r="J16" s="22"/>
      <c r="K16" s="22"/>
      <c r="L16" s="30">
        <f>7.47/100</f>
        <v>7.4700000000000003E-2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42" t="s">
        <v>312</v>
      </c>
      <c r="B17" s="17" t="s">
        <v>313</v>
      </c>
      <c r="C17" s="22"/>
      <c r="D17" s="22"/>
      <c r="E17" s="22"/>
      <c r="F17" s="22"/>
      <c r="G17" s="22"/>
      <c r="H17" s="22"/>
      <c r="I17" s="22"/>
      <c r="J17" s="30"/>
      <c r="K17" s="22"/>
      <c r="L17" s="87">
        <f>8.62/100</f>
        <v>8.6199999999999999E-2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42" t="s">
        <v>314</v>
      </c>
      <c r="B18" s="17" t="s">
        <v>313</v>
      </c>
      <c r="C18" s="22"/>
      <c r="D18" s="22"/>
      <c r="E18" s="22"/>
      <c r="F18" s="22"/>
      <c r="G18" s="22"/>
      <c r="H18" s="22"/>
      <c r="I18" s="22"/>
      <c r="J18" s="22"/>
      <c r="K18" s="22"/>
      <c r="L18" s="30">
        <f>10.19/100</f>
        <v>0.10189999999999999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50" t="s">
        <v>315</v>
      </c>
      <c r="B19" s="51" t="s">
        <v>313</v>
      </c>
      <c r="C19" s="22"/>
      <c r="D19" s="22"/>
      <c r="E19" s="22"/>
      <c r="F19" s="22"/>
      <c r="G19" s="22"/>
      <c r="H19" s="22"/>
      <c r="I19" s="22"/>
      <c r="J19" s="22"/>
      <c r="K19" s="22"/>
      <c r="L19" s="30">
        <f>11.31/100</f>
        <v>0.11310000000000001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H20" s="29"/>
    </row>
    <row r="21" spans="1:27" x14ac:dyDescent="0.25">
      <c r="A21" s="27" t="s">
        <v>48</v>
      </c>
      <c r="B21" s="40"/>
      <c r="C21" s="40"/>
      <c r="D21" s="41"/>
    </row>
    <row r="22" spans="1:27" ht="17.850000000000001" customHeight="1" x14ac:dyDescent="0.25">
      <c r="A22" s="118" t="s">
        <v>316</v>
      </c>
      <c r="B22" s="261" t="s">
        <v>317</v>
      </c>
      <c r="C22" s="247"/>
      <c r="D22" s="262"/>
    </row>
    <row r="23" spans="1:27" x14ac:dyDescent="0.25">
      <c r="A23" s="119" t="s">
        <v>318</v>
      </c>
      <c r="B23" s="261"/>
      <c r="C23" s="247"/>
      <c r="D23" s="262"/>
    </row>
    <row r="24" spans="1:27" x14ac:dyDescent="0.25">
      <c r="A24" s="45" t="s">
        <v>319</v>
      </c>
      <c r="B24" s="261"/>
      <c r="C24" s="247"/>
      <c r="D24" s="262"/>
    </row>
    <row r="25" spans="1:27" x14ac:dyDescent="0.25">
      <c r="A25" s="50"/>
      <c r="B25" s="51"/>
      <c r="C25" s="51"/>
      <c r="D25" s="52"/>
    </row>
    <row r="27" spans="1:27" x14ac:dyDescent="0.25">
      <c r="A27" s="35" t="s">
        <v>320</v>
      </c>
      <c r="B27" s="158"/>
      <c r="C27" s="58"/>
      <c r="D27" s="58"/>
      <c r="E27" s="58"/>
      <c r="F27" s="58"/>
      <c r="G27" s="58"/>
      <c r="H27" s="58">
        <f t="shared" ref="H27:AA27" si="2">H4</f>
        <v>2018</v>
      </c>
      <c r="I27" s="58">
        <f t="shared" si="2"/>
        <v>2019</v>
      </c>
      <c r="J27" s="58">
        <f t="shared" si="2"/>
        <v>2020</v>
      </c>
      <c r="K27" s="58">
        <f t="shared" si="2"/>
        <v>2021</v>
      </c>
      <c r="L27" s="58">
        <f t="shared" si="2"/>
        <v>2022</v>
      </c>
      <c r="M27" s="58">
        <f t="shared" si="2"/>
        <v>2023</v>
      </c>
      <c r="N27" s="58">
        <f t="shared" si="2"/>
        <v>2024</v>
      </c>
      <c r="O27" s="58">
        <f t="shared" si="2"/>
        <v>2025</v>
      </c>
      <c r="P27" s="58">
        <f t="shared" si="2"/>
        <v>2026</v>
      </c>
      <c r="Q27" s="58">
        <f t="shared" si="2"/>
        <v>2027</v>
      </c>
      <c r="R27" s="58">
        <f t="shared" si="2"/>
        <v>2028</v>
      </c>
      <c r="S27" s="58">
        <f t="shared" si="2"/>
        <v>2029</v>
      </c>
      <c r="T27" s="58">
        <f t="shared" si="2"/>
        <v>2030</v>
      </c>
      <c r="U27" s="58">
        <f t="shared" si="2"/>
        <v>2031</v>
      </c>
      <c r="V27" s="58">
        <f t="shared" si="2"/>
        <v>2032</v>
      </c>
      <c r="W27" s="58">
        <f t="shared" si="2"/>
        <v>2033</v>
      </c>
      <c r="X27" s="58">
        <f t="shared" si="2"/>
        <v>2034</v>
      </c>
      <c r="Y27" s="58">
        <f t="shared" si="2"/>
        <v>2035</v>
      </c>
      <c r="Z27" s="58">
        <f t="shared" si="2"/>
        <v>2036</v>
      </c>
      <c r="AA27" s="58">
        <f t="shared" si="2"/>
        <v>2037</v>
      </c>
    </row>
    <row r="28" spans="1:27" x14ac:dyDescent="0.25">
      <c r="A28" s="257" t="s">
        <v>321</v>
      </c>
      <c r="B28" s="214" t="str" cm="1">
        <f t="array" ref="B28:B30">currency_scenario</f>
        <v>Low scenario</v>
      </c>
      <c r="C28" s="121"/>
      <c r="D28" s="121"/>
      <c r="E28" s="121"/>
      <c r="F28" s="121"/>
      <c r="G28" s="121"/>
      <c r="H28" s="121">
        <v>13.246775199999993</v>
      </c>
      <c r="I28" s="121">
        <v>14.451177510040162</v>
      </c>
      <c r="J28" s="121">
        <v>16.441369841269843</v>
      </c>
      <c r="K28" s="121">
        <v>14.783901599999995</v>
      </c>
      <c r="L28" s="121">
        <v>16.381369199999995</v>
      </c>
      <c r="M28" s="3">
        <f t="shared" ref="M28:AA28" si="3">M29/1.15</f>
        <v>14.739130434782609</v>
      </c>
      <c r="N28" s="3">
        <f t="shared" si="3"/>
        <v>14.706521739130437</v>
      </c>
      <c r="O28" s="3">
        <f t="shared" si="3"/>
        <v>14.782608695652176</v>
      </c>
      <c r="P28" s="3">
        <f t="shared" si="3"/>
        <v>15.31891639773003</v>
      </c>
      <c r="Q28" s="3">
        <f t="shared" si="3"/>
        <v>15.874681149455192</v>
      </c>
      <c r="R28" s="3">
        <f t="shared" si="3"/>
        <v>16.450608845558449</v>
      </c>
      <c r="S28" s="3">
        <f t="shared" si="3"/>
        <v>17.047430990376363</v>
      </c>
      <c r="T28" s="3">
        <f t="shared" si="3"/>
        <v>17.665905626958509</v>
      </c>
      <c r="U28" s="3">
        <f t="shared" si="3"/>
        <v>17.98636196342045</v>
      </c>
      <c r="V28" s="3">
        <f t="shared" si="3"/>
        <v>18.312631319930567</v>
      </c>
      <c r="W28" s="3">
        <f t="shared" si="3"/>
        <v>18.644819143622318</v>
      </c>
      <c r="X28" s="3">
        <f t="shared" si="3"/>
        <v>18.983032794421117</v>
      </c>
      <c r="Y28" s="3">
        <f t="shared" si="3"/>
        <v>19.327381579742035</v>
      </c>
      <c r="Z28" s="3">
        <f t="shared" si="3"/>
        <v>19.327381579742035</v>
      </c>
      <c r="AA28" s="3">
        <f t="shared" si="3"/>
        <v>19.327381579742035</v>
      </c>
    </row>
    <row r="29" spans="1:27" x14ac:dyDescent="0.25">
      <c r="A29" s="257"/>
      <c r="B29" s="214" t="str">
        <v>Base scenario</v>
      </c>
      <c r="C29" s="121"/>
      <c r="D29" s="121"/>
      <c r="E29" s="121"/>
      <c r="F29" s="121"/>
      <c r="G29" s="121"/>
      <c r="H29" s="121">
        <v>13.246775199999993</v>
      </c>
      <c r="I29" s="121">
        <v>14.451177510040162</v>
      </c>
      <c r="J29" s="121">
        <v>16.441369841269843</v>
      </c>
      <c r="K29" s="121">
        <v>14.783901599999995</v>
      </c>
      <c r="L29" s="121">
        <v>16.381369199999995</v>
      </c>
      <c r="M29" s="3">
        <f>B55</f>
        <v>16.95</v>
      </c>
      <c r="N29" s="121">
        <f>F55</f>
        <v>16.912500000000001</v>
      </c>
      <c r="O29" s="121">
        <f>J55</f>
        <v>17</v>
      </c>
      <c r="P29" s="121">
        <f>O29*(1+$C$43)</f>
        <v>17.616753857389533</v>
      </c>
      <c r="Q29" s="121">
        <f>P29*(1+$C$43)</f>
        <v>18.255883321873469</v>
      </c>
      <c r="R29" s="121">
        <f>Q29*(1+$C$43)</f>
        <v>18.918200172392215</v>
      </c>
      <c r="S29" s="121">
        <f>R29*(1+$C$43)</f>
        <v>19.604545638932816</v>
      </c>
      <c r="T29" s="121">
        <f>S29*(1+$C$43)</f>
        <v>20.315791471002282</v>
      </c>
      <c r="U29" s="121">
        <f>T29*(1+$C$44)</f>
        <v>20.684316257933517</v>
      </c>
      <c r="V29" s="121">
        <f>U29*(1+$C$44)</f>
        <v>21.059526017920149</v>
      </c>
      <c r="W29" s="121">
        <f>V29*(1+$C$44)</f>
        <v>21.441542015165663</v>
      </c>
      <c r="X29" s="121">
        <f>W29*(1+$C$44)</f>
        <v>21.830487713584283</v>
      </c>
      <c r="Y29" s="121">
        <f>X29*(1+$C$44)</f>
        <v>22.226488816703338</v>
      </c>
      <c r="Z29" s="121">
        <f t="shared" ref="Z29:AA29" si="4">Y29</f>
        <v>22.226488816703338</v>
      </c>
      <c r="AA29" s="121">
        <f t="shared" si="4"/>
        <v>22.226488816703338</v>
      </c>
    </row>
    <row r="30" spans="1:27" x14ac:dyDescent="0.25">
      <c r="A30" s="257"/>
      <c r="B30" s="214" t="str">
        <v>High scenario</v>
      </c>
      <c r="C30" s="121"/>
      <c r="D30" s="121"/>
      <c r="E30" s="121"/>
      <c r="F30" s="121"/>
      <c r="G30" s="121"/>
      <c r="H30" s="121">
        <v>13.246775199999993</v>
      </c>
      <c r="I30" s="121">
        <v>14.451177510040162</v>
      </c>
      <c r="J30" s="121">
        <v>16.441369841269843</v>
      </c>
      <c r="K30" s="121">
        <v>14.783901599999995</v>
      </c>
      <c r="L30" s="121">
        <v>16.381369199999995</v>
      </c>
      <c r="M30" s="3">
        <f t="shared" ref="M30" si="5">M29*1.3</f>
        <v>22.035</v>
      </c>
      <c r="N30" s="3">
        <f t="shared" ref="N30" si="6">N29*1.3</f>
        <v>21.986250000000002</v>
      </c>
      <c r="O30" s="3">
        <f t="shared" ref="O30" si="7">O29*1.3</f>
        <v>22.1</v>
      </c>
      <c r="P30" s="3">
        <f t="shared" ref="P30" si="8">P29*1.3</f>
        <v>22.901780014606395</v>
      </c>
      <c r="Q30" s="3">
        <f t="shared" ref="Q30" si="9">Q29*1.3</f>
        <v>23.732648318435512</v>
      </c>
      <c r="R30" s="3">
        <f t="shared" ref="R30" si="10">R29*1.3</f>
        <v>24.593660224109879</v>
      </c>
      <c r="S30" s="3">
        <f t="shared" ref="S30" si="11">S29*1.3</f>
        <v>25.48590933061266</v>
      </c>
      <c r="T30" s="3">
        <f t="shared" ref="T30" si="12">T29*1.3</f>
        <v>26.410528912302969</v>
      </c>
      <c r="U30" s="3">
        <f t="shared" ref="U30" si="13">U29*1.3</f>
        <v>26.889611135313572</v>
      </c>
      <c r="V30" s="3">
        <f t="shared" ref="V30" si="14">V29*1.3</f>
        <v>27.377383823296196</v>
      </c>
      <c r="W30" s="3">
        <f t="shared" ref="W30" si="15">W29*1.3</f>
        <v>27.874004619715361</v>
      </c>
      <c r="X30" s="3">
        <f t="shared" ref="X30" si="16">X29*1.3</f>
        <v>28.37963402765957</v>
      </c>
      <c r="Y30" s="3">
        <f t="shared" ref="Y30" si="17">Y29*1.3</f>
        <v>28.894435461714341</v>
      </c>
      <c r="Z30" s="3">
        <f t="shared" ref="Z30" si="18">Z29*1.3</f>
        <v>28.894435461714341</v>
      </c>
      <c r="AA30" s="3">
        <f t="shared" ref="AA30" si="19">AA29*1.3</f>
        <v>28.894435461714341</v>
      </c>
    </row>
    <row r="31" spans="1:27" x14ac:dyDescent="0.25">
      <c r="A31" s="246"/>
      <c r="B31" s="91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x14ac:dyDescent="0.25">
      <c r="A32" s="215"/>
      <c r="B32" s="243"/>
      <c r="C32" s="244"/>
      <c r="D32" s="244"/>
      <c r="E32" s="244"/>
      <c r="F32" s="244"/>
      <c r="G32" s="244"/>
      <c r="H32" s="245">
        <f t="shared" ref="H32:AA32" si="20">H27</f>
        <v>2018</v>
      </c>
      <c r="I32" s="245">
        <f t="shared" si="20"/>
        <v>2019</v>
      </c>
      <c r="J32" s="245">
        <f t="shared" si="20"/>
        <v>2020</v>
      </c>
      <c r="K32" s="245">
        <f t="shared" si="20"/>
        <v>2021</v>
      </c>
      <c r="L32" s="245">
        <f t="shared" si="20"/>
        <v>2022</v>
      </c>
      <c r="M32" s="245">
        <f t="shared" si="20"/>
        <v>2023</v>
      </c>
      <c r="N32" s="245">
        <f t="shared" si="20"/>
        <v>2024</v>
      </c>
      <c r="O32" s="245">
        <f t="shared" si="20"/>
        <v>2025</v>
      </c>
      <c r="P32" s="245">
        <f t="shared" si="20"/>
        <v>2026</v>
      </c>
      <c r="Q32" s="245">
        <f t="shared" si="20"/>
        <v>2027</v>
      </c>
      <c r="R32" s="245">
        <f t="shared" si="20"/>
        <v>2028</v>
      </c>
      <c r="S32" s="245">
        <f t="shared" si="20"/>
        <v>2029</v>
      </c>
      <c r="T32" s="245">
        <f t="shared" si="20"/>
        <v>2030</v>
      </c>
      <c r="U32" s="245">
        <f t="shared" si="20"/>
        <v>2031</v>
      </c>
      <c r="V32" s="245">
        <f t="shared" si="20"/>
        <v>2032</v>
      </c>
      <c r="W32" s="245">
        <f t="shared" si="20"/>
        <v>2033</v>
      </c>
      <c r="X32" s="245">
        <f t="shared" si="20"/>
        <v>2034</v>
      </c>
      <c r="Y32" s="245">
        <f t="shared" si="20"/>
        <v>2035</v>
      </c>
      <c r="Z32" s="245">
        <f t="shared" si="20"/>
        <v>2036</v>
      </c>
      <c r="AA32" s="245">
        <f t="shared" si="20"/>
        <v>2037</v>
      </c>
    </row>
    <row r="33" spans="1:27" x14ac:dyDescent="0.25">
      <c r="A33" s="258" t="s">
        <v>322</v>
      </c>
      <c r="B33" s="214" t="str" cm="1">
        <f t="array" ref="B33:B35">currency_scenario</f>
        <v>Low scenario</v>
      </c>
      <c r="C33" s="121"/>
      <c r="D33" s="121"/>
      <c r="E33" s="121"/>
      <c r="F33" s="121"/>
      <c r="G33" s="121"/>
      <c r="H33" s="121">
        <v>17.641773199999999</v>
      </c>
      <c r="I33" s="121">
        <v>18.430149397590366</v>
      </c>
      <c r="J33" s="121">
        <v>21.072238492063484</v>
      </c>
      <c r="K33" s="121">
        <v>20.328223200000007</v>
      </c>
      <c r="L33" s="121">
        <v>20.179558399999998</v>
      </c>
      <c r="M33" s="3">
        <f t="shared" ref="M33:AA33" si="21">M34/1.15</f>
        <v>18.310869565217391</v>
      </c>
      <c r="N33" s="3">
        <f t="shared" si="21"/>
        <v>18.82826086956522</v>
      </c>
      <c r="O33" s="3">
        <f t="shared" si="21"/>
        <v>19.217391304347828</v>
      </c>
      <c r="P33" s="3">
        <f t="shared" si="21"/>
        <v>19.846001066157072</v>
      </c>
      <c r="Q33" s="3">
        <f t="shared" si="21"/>
        <v>20.495172944144514</v>
      </c>
      <c r="R33" s="3">
        <f t="shared" si="21"/>
        <v>21.165579534644817</v>
      </c>
      <c r="S33" s="3">
        <f t="shared" si="21"/>
        <v>21.857915434929964</v>
      </c>
      <c r="T33" s="3">
        <f t="shared" si="21"/>
        <v>22.57289796287013</v>
      </c>
      <c r="U33" s="3">
        <f t="shared" si="21"/>
        <v>22.942082931502522</v>
      </c>
      <c r="V33" s="3">
        <f t="shared" si="21"/>
        <v>23.31730600571127</v>
      </c>
      <c r="W33" s="3">
        <f t="shared" si="21"/>
        <v>23.698665940110047</v>
      </c>
      <c r="X33" s="3">
        <f t="shared" si="21"/>
        <v>24.086263104467079</v>
      </c>
      <c r="Y33" s="3">
        <f t="shared" si="21"/>
        <v>24.480199510121377</v>
      </c>
      <c r="Z33" s="3">
        <f t="shared" si="21"/>
        <v>24.480199510121377</v>
      </c>
      <c r="AA33" s="3">
        <f t="shared" si="21"/>
        <v>24.480199510121377</v>
      </c>
    </row>
    <row r="34" spans="1:27" x14ac:dyDescent="0.25">
      <c r="A34" s="259"/>
      <c r="B34" s="214" t="str">
        <v>Base scenario</v>
      </c>
      <c r="C34" s="121"/>
      <c r="D34" s="121"/>
      <c r="E34" s="121"/>
      <c r="F34" s="121"/>
      <c r="G34" s="121"/>
      <c r="H34" s="121">
        <v>17.641773199999999</v>
      </c>
      <c r="I34" s="121">
        <v>18.430149397590366</v>
      </c>
      <c r="J34" s="121">
        <v>21.072238492063484</v>
      </c>
      <c r="K34" s="121">
        <v>20.328223200000007</v>
      </c>
      <c r="L34" s="121">
        <v>20.179558399999998</v>
      </c>
      <c r="M34" s="121">
        <f>B57</f>
        <v>21.057499999999997</v>
      </c>
      <c r="N34" s="121">
        <f>F57</f>
        <v>21.6525</v>
      </c>
      <c r="O34" s="121">
        <f>J57</f>
        <v>22.1</v>
      </c>
      <c r="P34" s="121">
        <f>O34*(1+$C$45)</f>
        <v>22.822901226080631</v>
      </c>
      <c r="Q34" s="121">
        <f>P34*(1+$C$45)</f>
        <v>23.569448885766189</v>
      </c>
      <c r="R34" s="121">
        <f>Q34*(1+$C$45)</f>
        <v>24.340416464841535</v>
      </c>
      <c r="S34" s="121">
        <f>R34*(1+$C$45)</f>
        <v>25.136602750169459</v>
      </c>
      <c r="T34" s="121">
        <f>S34*(1+$C$45)</f>
        <v>25.958832657300647</v>
      </c>
      <c r="U34" s="121">
        <f>T34*(1+$C$46)</f>
        <v>26.383395371227898</v>
      </c>
      <c r="V34" s="121">
        <f>U34*(1+$C$46)</f>
        <v>26.814901906567957</v>
      </c>
      <c r="W34" s="121">
        <f>V34*(1+$C$46)</f>
        <v>27.253465831126551</v>
      </c>
      <c r="X34" s="121">
        <f>W34*(1+$C$46)</f>
        <v>27.699202570137139</v>
      </c>
      <c r="Y34" s="121">
        <f>X34*(1+$C$46)</f>
        <v>28.15222943663958</v>
      </c>
      <c r="Z34" s="121">
        <f t="shared" ref="Z34:AA34" si="22">Y34</f>
        <v>28.15222943663958</v>
      </c>
      <c r="AA34" s="121">
        <f t="shared" si="22"/>
        <v>28.15222943663958</v>
      </c>
    </row>
    <row r="35" spans="1:27" x14ac:dyDescent="0.25">
      <c r="A35" s="260"/>
      <c r="B35" s="214" t="str">
        <v>High scenario</v>
      </c>
      <c r="C35" s="121"/>
      <c r="D35" s="121"/>
      <c r="E35" s="121"/>
      <c r="F35" s="121"/>
      <c r="G35" s="121"/>
      <c r="H35" s="121">
        <v>17.641773199999999</v>
      </c>
      <c r="I35" s="121">
        <v>18.430149397590366</v>
      </c>
      <c r="J35" s="121">
        <v>21.072238492063484</v>
      </c>
      <c r="K35" s="121">
        <v>20.328223200000007</v>
      </c>
      <c r="L35" s="121">
        <v>20.179558399999998</v>
      </c>
      <c r="M35" s="3">
        <f t="shared" ref="M35" si="23">M34*1.3</f>
        <v>27.374749999999999</v>
      </c>
      <c r="N35" s="3">
        <f t="shared" ref="N35" si="24">N34*1.3</f>
        <v>28.148250000000001</v>
      </c>
      <c r="O35" s="3">
        <f t="shared" ref="O35" si="25">O34*1.3</f>
        <v>28.730000000000004</v>
      </c>
      <c r="P35" s="3">
        <f t="shared" ref="P35" si="26">P34*1.3</f>
        <v>29.669771593904823</v>
      </c>
      <c r="Q35" s="3">
        <f t="shared" ref="Q35" si="27">Q34*1.3</f>
        <v>30.640283551496047</v>
      </c>
      <c r="R35" s="3">
        <f t="shared" ref="R35" si="28">R34*1.3</f>
        <v>31.642541404293997</v>
      </c>
      <c r="S35" s="3">
        <f t="shared" ref="S35" si="29">S34*1.3</f>
        <v>32.677583575220297</v>
      </c>
      <c r="T35" s="3">
        <f t="shared" ref="T35" si="30">T34*1.3</f>
        <v>33.746482454490845</v>
      </c>
      <c r="U35" s="3">
        <f t="shared" ref="U35" si="31">U34*1.3</f>
        <v>34.298413982596266</v>
      </c>
      <c r="V35" s="3">
        <f t="shared" ref="V35" si="32">V34*1.3</f>
        <v>34.859372478538347</v>
      </c>
      <c r="W35" s="3">
        <f t="shared" ref="W35" si="33">W34*1.3</f>
        <v>35.429505580464514</v>
      </c>
      <c r="X35" s="3">
        <f t="shared" ref="X35" si="34">X34*1.3</f>
        <v>36.00896334117828</v>
      </c>
      <c r="Y35" s="3">
        <f t="shared" ref="Y35" si="35">Y34*1.3</f>
        <v>36.597898267631457</v>
      </c>
      <c r="Z35" s="3">
        <f t="shared" ref="Z35" si="36">Z34*1.3</f>
        <v>36.597898267631457</v>
      </c>
      <c r="AA35" s="3">
        <f t="shared" ref="AA35" si="37">AA34*1.3</f>
        <v>36.597898267631457</v>
      </c>
    </row>
    <row r="36" spans="1:27" x14ac:dyDescent="0.25">
      <c r="A36" s="242"/>
      <c r="B36" s="214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A37" s="242"/>
      <c r="B37" s="214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s="215"/>
      <c r="B38" s="216"/>
      <c r="C38" s="58"/>
      <c r="D38" s="58"/>
      <c r="E38" s="58"/>
      <c r="F38" s="58"/>
      <c r="G38" s="58"/>
      <c r="H38" s="224">
        <f t="shared" ref="H38:AA38" si="38">H27</f>
        <v>2018</v>
      </c>
      <c r="I38" s="224">
        <f t="shared" si="38"/>
        <v>2019</v>
      </c>
      <c r="J38" s="224">
        <f t="shared" si="38"/>
        <v>2020</v>
      </c>
      <c r="K38" s="224">
        <f t="shared" si="38"/>
        <v>2021</v>
      </c>
      <c r="L38" s="224">
        <f t="shared" si="38"/>
        <v>2022</v>
      </c>
      <c r="M38" s="224">
        <f t="shared" si="38"/>
        <v>2023</v>
      </c>
      <c r="N38" s="224">
        <f t="shared" si="38"/>
        <v>2024</v>
      </c>
      <c r="O38" s="224">
        <f t="shared" si="38"/>
        <v>2025</v>
      </c>
      <c r="P38" s="224">
        <f t="shared" si="38"/>
        <v>2026</v>
      </c>
      <c r="Q38" s="224">
        <f t="shared" si="38"/>
        <v>2027</v>
      </c>
      <c r="R38" s="224">
        <f t="shared" si="38"/>
        <v>2028</v>
      </c>
      <c r="S38" s="224">
        <f t="shared" si="38"/>
        <v>2029</v>
      </c>
      <c r="T38" s="224">
        <f t="shared" si="38"/>
        <v>2030</v>
      </c>
      <c r="U38" s="224">
        <f t="shared" si="38"/>
        <v>2031</v>
      </c>
      <c r="V38" s="224">
        <f t="shared" si="38"/>
        <v>2032</v>
      </c>
      <c r="W38" s="224">
        <f t="shared" si="38"/>
        <v>2033</v>
      </c>
      <c r="X38" s="224">
        <f t="shared" si="38"/>
        <v>2034</v>
      </c>
      <c r="Y38" s="224">
        <f t="shared" si="38"/>
        <v>2035</v>
      </c>
      <c r="Z38" s="224">
        <f t="shared" si="38"/>
        <v>2036</v>
      </c>
      <c r="AA38" s="224">
        <f t="shared" si="38"/>
        <v>2037</v>
      </c>
    </row>
    <row r="39" spans="1:27" x14ac:dyDescent="0.25">
      <c r="A39" s="258" t="s">
        <v>323</v>
      </c>
      <c r="B39" s="214" t="str" cm="1">
        <f t="array" ref="B39:B41">currency_scenario</f>
        <v>Low scenario</v>
      </c>
      <c r="C39" s="121"/>
      <c r="D39" s="121"/>
      <c r="E39" s="121"/>
      <c r="F39" s="121"/>
      <c r="G39" s="121"/>
      <c r="H39" s="121">
        <v>15.610738</v>
      </c>
      <c r="I39" s="121">
        <v>16.17564016064258</v>
      </c>
      <c r="J39" s="121">
        <v>18.757049999999992</v>
      </c>
      <c r="K39" s="121">
        <v>17.480877599999989</v>
      </c>
      <c r="L39" s="121">
        <v>17.2063676</v>
      </c>
      <c r="M39" s="3">
        <f t="shared" ref="M39:AA39" si="39">M40/1.15</f>
        <v>16.239130434782613</v>
      </c>
      <c r="N39" s="3">
        <f t="shared" si="39"/>
        <v>16.917391304347827</v>
      </c>
      <c r="O39" s="3">
        <f t="shared" si="39"/>
        <v>17.293478260869566</v>
      </c>
      <c r="P39" s="3">
        <f t="shared" si="39"/>
        <v>17.902131638359883</v>
      </c>
      <c r="Q39" s="3">
        <f t="shared" si="39"/>
        <v>18.532206902664523</v>
      </c>
      <c r="R39" s="3">
        <f t="shared" si="39"/>
        <v>19.184458008746461</v>
      </c>
      <c r="S39" s="3">
        <f t="shared" si="39"/>
        <v>19.859665447423843</v>
      </c>
      <c r="T39" s="3">
        <f t="shared" si="39"/>
        <v>20.558637179313852</v>
      </c>
      <c r="U39" s="3">
        <f t="shared" si="39"/>
        <v>20.920423390480554</v>
      </c>
      <c r="V39" s="3">
        <f t="shared" si="39"/>
        <v>21.288576232929707</v>
      </c>
      <c r="W39" s="3">
        <f t="shared" si="39"/>
        <v>21.663207745187471</v>
      </c>
      <c r="X39" s="3">
        <f t="shared" si="39"/>
        <v>22.044431937408465</v>
      </c>
      <c r="Y39" s="3">
        <f t="shared" si="39"/>
        <v>22.432364826072021</v>
      </c>
      <c r="Z39" s="3">
        <f t="shared" si="39"/>
        <v>22.432364826072021</v>
      </c>
      <c r="AA39" s="3">
        <f t="shared" si="39"/>
        <v>22.432364826072021</v>
      </c>
    </row>
    <row r="40" spans="1:27" x14ac:dyDescent="0.25">
      <c r="A40" s="259"/>
      <c r="B40" s="214" t="str">
        <v>Base scenario</v>
      </c>
      <c r="C40" s="121"/>
      <c r="D40" s="121"/>
      <c r="E40" s="121"/>
      <c r="F40" s="121"/>
      <c r="G40" s="121"/>
      <c r="H40" s="121">
        <v>15.610738</v>
      </c>
      <c r="I40" s="121">
        <v>16.17564016064258</v>
      </c>
      <c r="J40" s="121">
        <v>18.757049999999992</v>
      </c>
      <c r="K40" s="121">
        <v>17.480877599999989</v>
      </c>
      <c r="L40" s="121">
        <v>17.2063676</v>
      </c>
      <c r="M40" s="121">
        <f>B59</f>
        <v>18.675000000000004</v>
      </c>
      <c r="N40" s="121">
        <f>F59</f>
        <v>19.455000000000002</v>
      </c>
      <c r="O40" s="121">
        <f>J59</f>
        <v>19.887499999999999</v>
      </c>
      <c r="P40" s="121">
        <f>O40*(1+$C$47)</f>
        <v>20.587451384113862</v>
      </c>
      <c r="Q40" s="121">
        <f>P40*(1+$C$47)</f>
        <v>21.312037938064201</v>
      </c>
      <c r="R40" s="121">
        <f>Q40*(1+$C$47)</f>
        <v>22.062126710058429</v>
      </c>
      <c r="S40" s="121">
        <f>R40*(1+$C$47)</f>
        <v>22.838615264537417</v>
      </c>
      <c r="T40" s="121">
        <f>S40*(1+$C$47)</f>
        <v>23.64243275621093</v>
      </c>
      <c r="U40" s="121">
        <f>T40*(1+$C$48)</f>
        <v>24.058486899052635</v>
      </c>
      <c r="V40" s="121">
        <f>U40*(1+$C$48)</f>
        <v>24.481862667869159</v>
      </c>
      <c r="W40" s="121">
        <f>V40*(1+$C$48)</f>
        <v>24.912688906965588</v>
      </c>
      <c r="X40" s="121">
        <f>W40*(1+$C$48)</f>
        <v>25.351096728019733</v>
      </c>
      <c r="Y40" s="121">
        <f>X40*(1+$C$48)</f>
        <v>25.797219549982824</v>
      </c>
      <c r="Z40" s="121">
        <f t="shared" ref="Z40:AA40" si="40">Y40</f>
        <v>25.797219549982824</v>
      </c>
      <c r="AA40" s="121">
        <f t="shared" si="40"/>
        <v>25.797219549982824</v>
      </c>
    </row>
    <row r="41" spans="1:27" x14ac:dyDescent="0.25">
      <c r="A41" s="260"/>
      <c r="B41" s="214" t="str">
        <v>High scenario</v>
      </c>
      <c r="C41" s="121"/>
      <c r="D41" s="121"/>
      <c r="E41" s="121"/>
      <c r="F41" s="121"/>
      <c r="G41" s="121"/>
      <c r="H41" s="121">
        <v>15.610738</v>
      </c>
      <c r="I41" s="121">
        <v>16.17564016064258</v>
      </c>
      <c r="J41" s="121">
        <v>18.757049999999992</v>
      </c>
      <c r="K41" s="121">
        <v>17.480877599999989</v>
      </c>
      <c r="L41" s="121">
        <v>17.2063676</v>
      </c>
      <c r="M41" s="3">
        <f t="shared" ref="M41" si="41">M40*1.3</f>
        <v>24.277500000000007</v>
      </c>
      <c r="N41" s="3">
        <f t="shared" ref="N41" si="42">N40*1.3</f>
        <v>25.291500000000003</v>
      </c>
      <c r="O41" s="3">
        <f t="shared" ref="O41" si="43">O40*1.3</f>
        <v>25.853750000000002</v>
      </c>
      <c r="P41" s="3">
        <f t="shared" ref="P41" si="44">P40*1.3</f>
        <v>26.763686799348022</v>
      </c>
      <c r="Q41" s="3">
        <f t="shared" ref="Q41" si="45">Q40*1.3</f>
        <v>27.705649319483463</v>
      </c>
      <c r="R41" s="3">
        <f t="shared" ref="R41" si="46">R40*1.3</f>
        <v>28.68076472307596</v>
      </c>
      <c r="S41" s="3">
        <f t="shared" ref="S41" si="47">S40*1.3</f>
        <v>29.690199843898643</v>
      </c>
      <c r="T41" s="3">
        <f t="shared" ref="T41" si="48">T40*1.3</f>
        <v>30.73516258307421</v>
      </c>
      <c r="U41" s="3">
        <f t="shared" ref="U41" si="49">U40*1.3</f>
        <v>31.276032968768426</v>
      </c>
      <c r="V41" s="3">
        <f t="shared" ref="V41" si="50">V40*1.3</f>
        <v>31.826421468229906</v>
      </c>
      <c r="W41" s="3">
        <f t="shared" ref="W41" si="51">W40*1.3</f>
        <v>32.386495579055264</v>
      </c>
      <c r="X41" s="3">
        <f t="shared" ref="X41" si="52">X40*1.3</f>
        <v>32.956425746425651</v>
      </c>
      <c r="Y41" s="3">
        <f t="shared" ref="Y41" si="53">Y40*1.3</f>
        <v>33.536385414977673</v>
      </c>
      <c r="Z41" s="3">
        <f t="shared" ref="Z41" si="54">Z40*1.3</f>
        <v>33.536385414977673</v>
      </c>
      <c r="AA41" s="3">
        <f t="shared" ref="AA41" si="55">AA40*1.3</f>
        <v>33.536385414977673</v>
      </c>
    </row>
    <row r="42" spans="1:27" x14ac:dyDescent="0.25">
      <c r="A42" s="42"/>
      <c r="B42" s="91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7" x14ac:dyDescent="0.25">
      <c r="A43" s="266" t="s">
        <v>324</v>
      </c>
      <c r="B43" s="113" t="s">
        <v>325</v>
      </c>
      <c r="C43" s="116">
        <f>((O29/H29)^(1/7)-1)</f>
        <v>3.6279638669972414E-2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23"/>
    </row>
    <row r="44" spans="1:27" x14ac:dyDescent="0.25">
      <c r="A44" s="267"/>
      <c r="B44" s="114" t="s">
        <v>326</v>
      </c>
      <c r="C44" s="117">
        <f>C43/2</f>
        <v>1.8139819334986207E-2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23"/>
    </row>
    <row r="45" spans="1:27" x14ac:dyDescent="0.25">
      <c r="A45" s="266" t="s">
        <v>327</v>
      </c>
      <c r="B45" s="113" t="s">
        <v>325</v>
      </c>
      <c r="C45" s="116">
        <f>((O34/H34)^(1/7)-1)</f>
        <v>3.271046271858058E-2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23"/>
    </row>
    <row r="46" spans="1:27" x14ac:dyDescent="0.25">
      <c r="A46" s="268"/>
      <c r="B46" s="91" t="s">
        <v>326</v>
      </c>
      <c r="C46" s="115">
        <f>C45/2</f>
        <v>1.635523135929029E-2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23"/>
    </row>
    <row r="47" spans="1:27" x14ac:dyDescent="0.25">
      <c r="A47" s="266" t="s">
        <v>328</v>
      </c>
      <c r="B47" s="113" t="s">
        <v>325</v>
      </c>
      <c r="C47" s="116">
        <f>((O40/H40)^(1/7)-1)</f>
        <v>3.5195544141489066E-2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23"/>
    </row>
    <row r="48" spans="1:27" x14ac:dyDescent="0.25">
      <c r="A48" s="267"/>
      <c r="B48" s="114" t="s">
        <v>326</v>
      </c>
      <c r="C48" s="117">
        <f>C47/2</f>
        <v>1.7597772070744533E-2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23"/>
    </row>
    <row r="49" spans="1:18" x14ac:dyDescent="0.25">
      <c r="A49" s="17" t="s">
        <v>329</v>
      </c>
      <c r="B49" s="91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23"/>
    </row>
    <row r="50" spans="1:18" x14ac:dyDescent="0.25">
      <c r="B50" s="91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23"/>
    </row>
    <row r="52" spans="1:18" ht="30" x14ac:dyDescent="0.25">
      <c r="A52" s="120" t="s">
        <v>330</v>
      </c>
      <c r="B52" s="263">
        <v>2023</v>
      </c>
      <c r="C52" s="264"/>
      <c r="D52" s="264"/>
      <c r="E52" s="265"/>
      <c r="F52" s="250">
        <v>2024</v>
      </c>
      <c r="G52" s="251"/>
      <c r="H52" s="251"/>
      <c r="I52" s="252"/>
      <c r="J52" s="254">
        <v>2025</v>
      </c>
      <c r="K52" s="255"/>
      <c r="L52" s="255"/>
      <c r="M52" s="256"/>
    </row>
    <row r="53" spans="1:18" x14ac:dyDescent="0.25">
      <c r="A53" s="42"/>
      <c r="B53" s="22" t="s">
        <v>331</v>
      </c>
      <c r="C53" s="22" t="s">
        <v>332</v>
      </c>
      <c r="D53" s="22" t="s">
        <v>333</v>
      </c>
      <c r="E53" s="22" t="s">
        <v>334</v>
      </c>
      <c r="F53" s="22" t="s">
        <v>331</v>
      </c>
      <c r="G53" s="22" t="s">
        <v>332</v>
      </c>
      <c r="H53" s="22" t="s">
        <v>333</v>
      </c>
      <c r="I53" s="22" t="s">
        <v>334</v>
      </c>
      <c r="J53" s="22" t="s">
        <v>331</v>
      </c>
      <c r="K53" s="22" t="s">
        <v>332</v>
      </c>
      <c r="L53" s="22" t="s">
        <v>333</v>
      </c>
      <c r="M53" s="22" t="s">
        <v>334</v>
      </c>
    </row>
    <row r="54" spans="1:18" ht="20.85" customHeight="1" x14ac:dyDescent="0.25">
      <c r="A54" s="38" t="s">
        <v>335</v>
      </c>
      <c r="B54" s="22">
        <v>17.100000000000001</v>
      </c>
      <c r="C54" s="22">
        <v>17</v>
      </c>
      <c r="D54" s="22">
        <v>16.899999999999999</v>
      </c>
      <c r="E54" s="22">
        <v>16.8</v>
      </c>
      <c r="F54" s="22">
        <v>16.600000000000001</v>
      </c>
      <c r="G54" s="22">
        <v>16.850000000000001</v>
      </c>
      <c r="H54" s="22">
        <v>17.2</v>
      </c>
      <c r="I54" s="22">
        <v>17</v>
      </c>
      <c r="J54" s="22">
        <v>16.899999999999999</v>
      </c>
      <c r="K54" s="22">
        <v>16.899999999999999</v>
      </c>
      <c r="L54" s="22">
        <v>17.2</v>
      </c>
      <c r="M54" s="22">
        <v>17</v>
      </c>
    </row>
    <row r="55" spans="1:18" x14ac:dyDescent="0.25">
      <c r="A55" s="50" t="s">
        <v>336</v>
      </c>
      <c r="B55" s="248">
        <f>AVERAGE(B54:E54)</f>
        <v>16.95</v>
      </c>
      <c r="C55" s="248"/>
      <c r="D55" s="248"/>
      <c r="E55" s="248"/>
      <c r="F55" s="249">
        <f>AVERAGE(F54:I54)</f>
        <v>16.912500000000001</v>
      </c>
      <c r="G55" s="249"/>
      <c r="H55" s="249"/>
      <c r="I55" s="249"/>
      <c r="J55" s="253">
        <f>AVERAGE(J54:M54)</f>
        <v>17</v>
      </c>
      <c r="K55" s="253"/>
      <c r="L55" s="253"/>
      <c r="M55" s="253"/>
    </row>
    <row r="56" spans="1:18" x14ac:dyDescent="0.25">
      <c r="A56" s="38" t="s">
        <v>337</v>
      </c>
      <c r="B56" s="22">
        <v>21.02</v>
      </c>
      <c r="C56" s="22">
        <v>21.08</v>
      </c>
      <c r="D56" s="22">
        <v>21.13</v>
      </c>
      <c r="E56" s="22">
        <v>21</v>
      </c>
      <c r="F56" s="22">
        <v>20.92</v>
      </c>
      <c r="G56" s="22">
        <v>21.4</v>
      </c>
      <c r="H56" s="22">
        <v>22.1</v>
      </c>
      <c r="I56" s="22">
        <v>22.19</v>
      </c>
      <c r="J56" s="22">
        <v>21.97</v>
      </c>
      <c r="K56" s="22">
        <v>21.97</v>
      </c>
      <c r="L56" s="22">
        <v>22.36</v>
      </c>
      <c r="M56" s="22">
        <v>22.1</v>
      </c>
    </row>
    <row r="57" spans="1:18" x14ac:dyDescent="0.25">
      <c r="A57" s="50" t="s">
        <v>336</v>
      </c>
      <c r="B57" s="248">
        <f>AVERAGE(B56:E56)</f>
        <v>21.057499999999997</v>
      </c>
      <c r="C57" s="248"/>
      <c r="D57" s="248"/>
      <c r="E57" s="248"/>
      <c r="F57" s="249">
        <f>AVERAGE(F56:I56)</f>
        <v>21.6525</v>
      </c>
      <c r="G57" s="249"/>
      <c r="H57" s="249"/>
      <c r="I57" s="249"/>
      <c r="J57" s="253">
        <f>AVERAGE(J56:M56)</f>
        <v>22.1</v>
      </c>
      <c r="K57" s="253"/>
      <c r="L57" s="253"/>
      <c r="M57" s="253"/>
    </row>
    <row r="58" spans="1:18" x14ac:dyDescent="0.25">
      <c r="A58" s="38" t="s">
        <v>338</v>
      </c>
      <c r="B58" s="22">
        <v>18.5</v>
      </c>
      <c r="C58" s="22">
        <v>18.62</v>
      </c>
      <c r="D58" s="22">
        <v>18.760000000000002</v>
      </c>
      <c r="E58" s="22">
        <v>18.82</v>
      </c>
      <c r="F58" s="22">
        <v>18.760000000000002</v>
      </c>
      <c r="G58" s="22">
        <v>19.21</v>
      </c>
      <c r="H58" s="22">
        <v>19.87</v>
      </c>
      <c r="I58" s="22">
        <v>19.98</v>
      </c>
      <c r="J58" s="22">
        <v>19.77</v>
      </c>
      <c r="K58" s="22">
        <v>19.77</v>
      </c>
      <c r="L58" s="22">
        <v>20.12</v>
      </c>
      <c r="M58" s="22">
        <v>19.89</v>
      </c>
    </row>
    <row r="59" spans="1:18" x14ac:dyDescent="0.25">
      <c r="A59" s="50" t="s">
        <v>336</v>
      </c>
      <c r="B59" s="248">
        <f>AVERAGE(B58:E58)</f>
        <v>18.675000000000004</v>
      </c>
      <c r="C59" s="248"/>
      <c r="D59" s="248"/>
      <c r="E59" s="248"/>
      <c r="F59" s="249">
        <f t="shared" ref="F59" si="56">AVERAGE(F58:I58)</f>
        <v>19.455000000000002</v>
      </c>
      <c r="G59" s="249"/>
      <c r="H59" s="249"/>
      <c r="I59" s="249"/>
      <c r="J59" s="253">
        <f t="shared" ref="J59" si="57">AVERAGE(J58:M58)</f>
        <v>19.887499999999999</v>
      </c>
      <c r="K59" s="253"/>
      <c r="L59" s="253"/>
      <c r="M59" s="253"/>
    </row>
    <row r="61" spans="1:18" x14ac:dyDescent="0.25">
      <c r="A61" s="26" t="s">
        <v>48</v>
      </c>
    </row>
    <row r="62" spans="1:18" ht="30" x14ac:dyDescent="0.25">
      <c r="A62" s="104" t="s">
        <v>339</v>
      </c>
      <c r="B62" s="105" t="s">
        <v>340</v>
      </c>
      <c r="C62" s="106"/>
      <c r="D62" s="106"/>
      <c r="E62" s="106"/>
      <c r="F62" s="106"/>
      <c r="G62" s="106"/>
      <c r="H62" s="106"/>
      <c r="I62" s="106"/>
      <c r="J62" s="107"/>
    </row>
    <row r="63" spans="1:18" ht="48.6" customHeight="1" x14ac:dyDescent="0.25">
      <c r="A63" s="108" t="s">
        <v>341</v>
      </c>
      <c r="B63" s="247" t="s">
        <v>342</v>
      </c>
      <c r="C63" s="247"/>
      <c r="D63" s="247"/>
      <c r="E63" s="247"/>
      <c r="F63" s="247"/>
      <c r="G63" s="247"/>
      <c r="H63" s="109"/>
      <c r="I63" s="110"/>
      <c r="J63" s="111"/>
    </row>
    <row r="64" spans="1:18" x14ac:dyDescent="0.25">
      <c r="A64" s="42" t="s">
        <v>343</v>
      </c>
      <c r="J64" s="43"/>
    </row>
    <row r="65" spans="1:10" x14ac:dyDescent="0.25">
      <c r="A65" s="50" t="s">
        <v>344</v>
      </c>
      <c r="B65" s="51"/>
      <c r="C65" s="51"/>
      <c r="D65" s="51"/>
      <c r="E65" s="51"/>
      <c r="F65" s="51"/>
      <c r="G65" s="51"/>
      <c r="H65" s="51"/>
      <c r="I65" s="51"/>
      <c r="J65" s="52"/>
    </row>
  </sheetData>
  <mergeCells count="20">
    <mergeCell ref="A28:A30"/>
    <mergeCell ref="A33:A35"/>
    <mergeCell ref="A39:A41"/>
    <mergeCell ref="B22:D24"/>
    <mergeCell ref="B52:E52"/>
    <mergeCell ref="A43:A44"/>
    <mergeCell ref="A45:A46"/>
    <mergeCell ref="A47:A48"/>
    <mergeCell ref="B63:G63"/>
    <mergeCell ref="B57:E57"/>
    <mergeCell ref="F57:I57"/>
    <mergeCell ref="F52:I52"/>
    <mergeCell ref="J57:M57"/>
    <mergeCell ref="B59:E59"/>
    <mergeCell ref="F59:I59"/>
    <mergeCell ref="J59:M59"/>
    <mergeCell ref="J52:M52"/>
    <mergeCell ref="B55:E55"/>
    <mergeCell ref="F55:I55"/>
    <mergeCell ref="J55:M55"/>
  </mergeCells>
  <phoneticPr fontId="1" type="noConversion"/>
  <hyperlinks>
    <hyperlink ref="B22" r:id="rId1" xr:uid="{F1066932-BEAB-4D5A-8E46-47658568D309}"/>
    <hyperlink ref="B63" r:id="rId2" xr:uid="{79E303DC-654B-424F-9762-469F832BB9B0}"/>
    <hyperlink ref="B9" r:id="rId3" xr:uid="{BBD4A94B-1441-4903-AB29-8E11B2C3B9E6}"/>
    <hyperlink ref="B8" r:id="rId4" xr:uid="{F566CFC6-D409-4604-8F4F-DB7845B4192E}"/>
    <hyperlink ref="B7" r:id="rId5" xr:uid="{BDA54D83-3F62-4454-92A2-D05E016EA9AB}"/>
    <hyperlink ref="B62" r:id="rId6" xr:uid="{663B6C7A-33EF-46B9-BE67-4F9548BC4743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35DC-F826-4A85-A335-D8C0CA32E1D2}">
  <dimension ref="A2:AK41"/>
  <sheetViews>
    <sheetView tabSelected="1" workbookViewId="0">
      <selection activeCell="A11" sqref="A11"/>
    </sheetView>
  </sheetViews>
  <sheetFormatPr defaultColWidth="8.5703125" defaultRowHeight="15" x14ac:dyDescent="0.25"/>
  <cols>
    <col min="1" max="1" width="60.7109375" style="17" customWidth="1"/>
    <col min="2" max="16384" width="8.5703125" style="17"/>
  </cols>
  <sheetData>
    <row r="2" spans="1:37" ht="18.75" x14ac:dyDescent="0.3">
      <c r="A2" s="56" t="s">
        <v>345</v>
      </c>
      <c r="B2" s="55"/>
      <c r="C2" s="55"/>
    </row>
    <row r="4" spans="1:37" x14ac:dyDescent="0.25">
      <c r="A4" s="103" t="s">
        <v>346</v>
      </c>
    </row>
    <row r="5" spans="1:37" x14ac:dyDescent="0.25">
      <c r="A5" s="22" t="s">
        <v>347</v>
      </c>
    </row>
    <row r="6" spans="1:37" x14ac:dyDescent="0.25">
      <c r="A6" s="22" t="s">
        <v>13</v>
      </c>
    </row>
    <row r="7" spans="1:37" x14ac:dyDescent="0.25">
      <c r="A7" s="22" t="s">
        <v>348</v>
      </c>
    </row>
    <row r="9" spans="1:37" x14ac:dyDescent="0.25">
      <c r="A9" s="103" t="s">
        <v>349</v>
      </c>
      <c r="B9" s="19" cm="1">
        <f t="array" ref="B9:U9">years</f>
        <v>2018</v>
      </c>
      <c r="C9" s="19">
        <v>2019</v>
      </c>
      <c r="D9" s="19">
        <v>2020</v>
      </c>
      <c r="E9" s="19">
        <v>2021</v>
      </c>
      <c r="F9" s="19">
        <v>2022</v>
      </c>
      <c r="G9" s="19">
        <v>2023</v>
      </c>
      <c r="H9" s="19">
        <v>2024</v>
      </c>
      <c r="I9" s="19">
        <v>2025</v>
      </c>
      <c r="J9" s="19">
        <v>2026</v>
      </c>
      <c r="K9" s="19">
        <v>2027</v>
      </c>
      <c r="L9" s="19">
        <v>2028</v>
      </c>
      <c r="M9" s="19">
        <v>2029</v>
      </c>
      <c r="N9" s="19">
        <v>2030</v>
      </c>
      <c r="O9" s="19">
        <v>2031</v>
      </c>
      <c r="P9" s="19">
        <v>2032</v>
      </c>
      <c r="Q9" s="19">
        <v>2033</v>
      </c>
      <c r="R9" s="19">
        <v>2034</v>
      </c>
      <c r="S9" s="19">
        <v>2035</v>
      </c>
      <c r="T9" s="19">
        <v>2036</v>
      </c>
      <c r="U9" s="19">
        <v>2037</v>
      </c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</row>
    <row r="11" spans="1:37" x14ac:dyDescent="0.25">
      <c r="A11" s="103"/>
    </row>
    <row r="12" spans="1:37" x14ac:dyDescent="0.25">
      <c r="A12" s="22"/>
    </row>
    <row r="13" spans="1:37" x14ac:dyDescent="0.25">
      <c r="A13" s="22"/>
    </row>
    <row r="14" spans="1:37" x14ac:dyDescent="0.25">
      <c r="A14" s="22"/>
    </row>
    <row r="15" spans="1:37" x14ac:dyDescent="0.25">
      <c r="A15" s="22"/>
    </row>
    <row r="16" spans="1:37" x14ac:dyDescent="0.25">
      <c r="A16" s="103"/>
    </row>
    <row r="17" spans="1:1" x14ac:dyDescent="0.25">
      <c r="A17" s="22"/>
    </row>
    <row r="18" spans="1:1" x14ac:dyDescent="0.25">
      <c r="A18" s="22"/>
    </row>
    <row r="19" spans="1:1" x14ac:dyDescent="0.25">
      <c r="A19" s="22"/>
    </row>
    <row r="21" spans="1:1" x14ac:dyDescent="0.25">
      <c r="A21" s="22"/>
    </row>
    <row r="22" spans="1:1" x14ac:dyDescent="0.25">
      <c r="A22" s="22"/>
    </row>
    <row r="23" spans="1:1" x14ac:dyDescent="0.25">
      <c r="A23" s="22"/>
    </row>
    <row r="24" spans="1:1" x14ac:dyDescent="0.25">
      <c r="A24" s="22"/>
    </row>
    <row r="25" spans="1:1" x14ac:dyDescent="0.25">
      <c r="A25" s="22"/>
    </row>
    <row r="26" spans="1:1" x14ac:dyDescent="0.25">
      <c r="A26" s="22"/>
    </row>
    <row r="27" spans="1:1" x14ac:dyDescent="0.25">
      <c r="A27" s="22"/>
    </row>
    <row r="28" spans="1:1" x14ac:dyDescent="0.25">
      <c r="A28" s="22"/>
    </row>
    <row r="29" spans="1:1" x14ac:dyDescent="0.25">
      <c r="A29" s="22"/>
    </row>
    <row r="30" spans="1:1" x14ac:dyDescent="0.25">
      <c r="A30" s="22"/>
    </row>
    <row r="31" spans="1:1" x14ac:dyDescent="0.25">
      <c r="A31" s="22"/>
    </row>
    <row r="32" spans="1:1" x14ac:dyDescent="0.25">
      <c r="A32" s="22"/>
    </row>
    <row r="33" spans="1:1" x14ac:dyDescent="0.25">
      <c r="A33" s="22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8" spans="1:1" x14ac:dyDescent="0.25">
      <c r="A38" s="212" t="s">
        <v>354</v>
      </c>
    </row>
    <row r="39" spans="1:1" x14ac:dyDescent="0.25">
      <c r="A39" s="213" t="s">
        <v>353</v>
      </c>
    </row>
    <row r="40" spans="1:1" x14ac:dyDescent="0.25">
      <c r="A40" s="213" t="s">
        <v>355</v>
      </c>
    </row>
    <row r="41" spans="1:1" x14ac:dyDescent="0.25">
      <c r="A41" s="213" t="s">
        <v>356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E6C6-5D5A-446A-A8D5-2A716574E68F}">
  <sheetPr>
    <tabColor theme="3" tint="0.79998168889431442"/>
  </sheetPr>
  <dimension ref="B2"/>
  <sheetViews>
    <sheetView workbookViewId="0">
      <selection activeCell="B2" sqref="B2"/>
    </sheetView>
  </sheetViews>
  <sheetFormatPr defaultColWidth="8.5703125" defaultRowHeight="15" x14ac:dyDescent="0.25"/>
  <cols>
    <col min="1" max="16384" width="8.5703125" style="17"/>
  </cols>
  <sheetData>
    <row r="2" spans="2:2" x14ac:dyDescent="0.25">
      <c r="B2" s="17" t="s">
        <v>202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7AF15-D4BD-441F-B10C-B7888ACE4A2B}">
  <dimension ref="A2:S40"/>
  <sheetViews>
    <sheetView workbookViewId="0">
      <selection activeCell="F21" sqref="F21"/>
    </sheetView>
  </sheetViews>
  <sheetFormatPr defaultColWidth="15.7109375" defaultRowHeight="15" x14ac:dyDescent="0.25"/>
  <cols>
    <col min="1" max="1" width="45.7109375" style="23" customWidth="1"/>
    <col min="2" max="16384" width="15.7109375" style="23"/>
  </cols>
  <sheetData>
    <row r="2" spans="1:19" ht="18.75" x14ac:dyDescent="0.3">
      <c r="A2" s="98" t="s">
        <v>350</v>
      </c>
      <c r="B2" s="10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4" spans="1:19" x14ac:dyDescent="0.25">
      <c r="A4" s="23" t="s">
        <v>351</v>
      </c>
      <c r="F4" s="101"/>
      <c r="G4" s="101"/>
      <c r="H4" s="101"/>
      <c r="I4" s="101"/>
      <c r="J4" s="101"/>
      <c r="K4" s="101"/>
      <c r="L4" s="101"/>
      <c r="M4" s="101"/>
    </row>
    <row r="6" spans="1:19" x14ac:dyDescent="0.25">
      <c r="P6" s="124"/>
      <c r="Q6" s="124"/>
    </row>
    <row r="7" spans="1:19" x14ac:dyDescent="0.25">
      <c r="P7" s="124"/>
      <c r="Q7" s="124"/>
    </row>
    <row r="8" spans="1:19" x14ac:dyDescent="0.25">
      <c r="P8" s="124"/>
      <c r="Q8" s="124"/>
    </row>
    <row r="9" spans="1:19" x14ac:dyDescent="0.25">
      <c r="P9" s="124"/>
      <c r="Q9" s="124"/>
    </row>
    <row r="10" spans="1:19" x14ac:dyDescent="0.25">
      <c r="P10" s="124"/>
      <c r="Q10" s="124"/>
    </row>
    <row r="11" spans="1:19" x14ac:dyDescent="0.25">
      <c r="P11" s="124"/>
      <c r="Q11" s="124"/>
    </row>
    <row r="12" spans="1:19" x14ac:dyDescent="0.25">
      <c r="P12" s="124"/>
      <c r="Q12" s="124"/>
    </row>
    <row r="13" spans="1:19" x14ac:dyDescent="0.25">
      <c r="P13" s="124"/>
      <c r="Q13" s="124"/>
    </row>
    <row r="14" spans="1:19" x14ac:dyDescent="0.25">
      <c r="P14" s="124"/>
      <c r="Q14" s="124"/>
    </row>
    <row r="15" spans="1:19" x14ac:dyDescent="0.25">
      <c r="P15" s="124"/>
      <c r="Q15" s="124"/>
    </row>
    <row r="16" spans="1:19" x14ac:dyDescent="0.25">
      <c r="P16" s="124"/>
      <c r="Q16" s="124"/>
    </row>
    <row r="17" spans="1:17" x14ac:dyDescent="0.25">
      <c r="P17" s="124"/>
      <c r="Q17" s="124"/>
    </row>
    <row r="18" spans="1:17" x14ac:dyDescent="0.25">
      <c r="P18" s="124"/>
      <c r="Q18" s="124"/>
    </row>
    <row r="19" spans="1:17" x14ac:dyDescent="0.25">
      <c r="P19" s="124"/>
      <c r="Q19" s="124"/>
    </row>
    <row r="20" spans="1:17" x14ac:dyDescent="0.25">
      <c r="P20" s="124"/>
      <c r="Q20" s="124"/>
    </row>
    <row r="21" spans="1:17" x14ac:dyDescent="0.25">
      <c r="P21" s="124"/>
      <c r="Q21" s="124"/>
    </row>
    <row r="22" spans="1:17" x14ac:dyDescent="0.25">
      <c r="P22" s="124"/>
      <c r="Q22" s="124"/>
    </row>
    <row r="23" spans="1:17" x14ac:dyDescent="0.25">
      <c r="P23" s="124"/>
      <c r="Q23" s="124"/>
    </row>
    <row r="24" spans="1:17" x14ac:dyDescent="0.25">
      <c r="P24" s="124"/>
      <c r="Q24" s="124"/>
    </row>
    <row r="25" spans="1:17" x14ac:dyDescent="0.25">
      <c r="P25" s="124"/>
      <c r="Q25" s="124"/>
    </row>
    <row r="26" spans="1:17" x14ac:dyDescent="0.25">
      <c r="P26" s="124"/>
      <c r="Q26" s="124"/>
    </row>
    <row r="27" spans="1:17" x14ac:dyDescent="0.25">
      <c r="P27" s="124"/>
      <c r="Q27" s="124"/>
    </row>
    <row r="28" spans="1:17" x14ac:dyDescent="0.25">
      <c r="P28" s="124"/>
      <c r="Q28" s="124"/>
    </row>
    <row r="31" spans="1:17" x14ac:dyDescent="0.25">
      <c r="A31" s="125"/>
      <c r="B31" s="126"/>
      <c r="C31" s="126"/>
      <c r="D31" s="126"/>
      <c r="E31" s="126"/>
    </row>
    <row r="32" spans="1:17" x14ac:dyDescent="0.25">
      <c r="A32" s="125"/>
      <c r="B32" s="127"/>
      <c r="C32" s="127"/>
      <c r="D32" s="127"/>
      <c r="E32" s="128"/>
    </row>
    <row r="33" spans="1:5" x14ac:dyDescent="0.25">
      <c r="A33" s="125"/>
      <c r="B33" s="127"/>
      <c r="C33" s="127"/>
      <c r="D33" s="128"/>
      <c r="E33" s="128"/>
    </row>
    <row r="34" spans="1:5" x14ac:dyDescent="0.25">
      <c r="A34" s="125"/>
      <c r="B34" s="127"/>
      <c r="C34" s="127"/>
      <c r="D34" s="127"/>
      <c r="E34" s="128"/>
    </row>
    <row r="36" spans="1:5" x14ac:dyDescent="0.25">
      <c r="A36" s="125"/>
      <c r="B36" s="72"/>
      <c r="C36" s="72"/>
      <c r="D36" s="72"/>
      <c r="E36" s="129"/>
    </row>
    <row r="37" spans="1:5" x14ac:dyDescent="0.25">
      <c r="A37" s="125"/>
      <c r="B37" s="130"/>
      <c r="D37" s="131"/>
      <c r="E37" s="132"/>
    </row>
    <row r="38" spans="1:5" x14ac:dyDescent="0.25">
      <c r="A38" s="125"/>
      <c r="B38" s="130"/>
      <c r="D38" s="131"/>
      <c r="E38" s="132"/>
    </row>
    <row r="39" spans="1:5" x14ac:dyDescent="0.25">
      <c r="A39" s="125"/>
      <c r="B39" s="130"/>
      <c r="D39" s="131"/>
      <c r="E39" s="132"/>
    </row>
    <row r="40" spans="1:5" x14ac:dyDescent="0.25">
      <c r="A40" s="125"/>
      <c r="E40" s="1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41275d-bc04-4c78-833e-8c65094cedc0">
      <Terms xmlns="http://schemas.microsoft.com/office/infopath/2007/PartnerControls"/>
    </lcf76f155ced4ddcb4097134ff3c332f>
    <TaxCatchAll xmlns="273ff822-d9a1-415a-8e5f-f24c063425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E4670575D9E43A0D0956D52CCF417" ma:contentTypeVersion="11" ma:contentTypeDescription="Create a new document." ma:contentTypeScope="" ma:versionID="4ffa36f907b4ed06d1d9fe51fb5d7981">
  <xsd:schema xmlns:xsd="http://www.w3.org/2001/XMLSchema" xmlns:xs="http://www.w3.org/2001/XMLSchema" xmlns:p="http://schemas.microsoft.com/office/2006/metadata/properties" xmlns:ns2="cf41275d-bc04-4c78-833e-8c65094cedc0" xmlns:ns3="273ff822-d9a1-415a-8e5f-f24c06342558" targetNamespace="http://schemas.microsoft.com/office/2006/metadata/properties" ma:root="true" ma:fieldsID="f80790b22159abf787bc7b3bb21c34c6" ns2:_="" ns3:_="">
    <xsd:import namespace="cf41275d-bc04-4c78-833e-8c65094cedc0"/>
    <xsd:import namespace="273ff822-d9a1-415a-8e5f-f24c063425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1275d-bc04-4c78-833e-8c65094ce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991b503-1ffc-4999-8cb9-4dbaf7daa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f822-d9a1-415a-8e5f-f24c0634255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5fd7001-2bb6-4d82-8ba0-4fb415e24511}" ma:internalName="TaxCatchAll" ma:showField="CatchAllData" ma:web="273ff822-d9a1-415a-8e5f-f24c063425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9409F9-AED0-4342-B9DD-E491DD25AAA7}">
  <ds:schemaRefs>
    <ds:schemaRef ds:uri="http://schemas.microsoft.com/office/2006/metadata/properties"/>
    <ds:schemaRef ds:uri="http://schemas.microsoft.com/office/infopath/2007/PartnerControls"/>
    <ds:schemaRef ds:uri="cf41275d-bc04-4c78-833e-8c65094cedc0"/>
    <ds:schemaRef ds:uri="273ff822-d9a1-415a-8e5f-f24c06342558"/>
  </ds:schemaRefs>
</ds:datastoreItem>
</file>

<file path=customXml/itemProps2.xml><?xml version="1.0" encoding="utf-8"?>
<ds:datastoreItem xmlns:ds="http://schemas.openxmlformats.org/officeDocument/2006/customXml" ds:itemID="{47026609-5A7D-428B-BA1F-60E6284BD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1275d-bc04-4c78-833e-8c65094cedc0"/>
    <ds:schemaRef ds:uri="273ff822-d9a1-415a-8e5f-f24c063425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D10714-072B-446D-8720-B923576B2C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69</vt:i4>
      </vt:variant>
    </vt:vector>
  </HeadingPairs>
  <TitlesOfParts>
    <vt:vector size="92" baseType="lpstr">
      <vt:lpstr>Summary</vt:lpstr>
      <vt:lpstr>BU-LRIC plan</vt:lpstr>
      <vt:lpstr>1 Volumes</vt:lpstr>
      <vt:lpstr>2 Dimensioning</vt:lpstr>
      <vt:lpstr>3 Network demand</vt:lpstr>
      <vt:lpstr>4 Cost - capital</vt:lpstr>
      <vt:lpstr>5 Cost - opex</vt:lpstr>
      <vt:lpstr>6 Termination</vt:lpstr>
      <vt:lpstr>Calibration&gt;&gt;&gt;&gt;</vt:lpstr>
      <vt:lpstr>Assets - HCA</vt:lpstr>
      <vt:lpstr>Revenues, costs</vt:lpstr>
      <vt:lpstr>Volumes details &gt;&gt;&gt;&gt;</vt:lpstr>
      <vt:lpstr>Volume projections</vt:lpstr>
      <vt:lpstr>State of ICT sector</vt:lpstr>
      <vt:lpstr>ITU</vt:lpstr>
      <vt:lpstr>Core network details &gt;&gt;&gt;&gt;</vt:lpstr>
      <vt:lpstr>Core costs</vt:lpstr>
      <vt:lpstr>Additional inputs &gt;&gt;&gt;&gt;</vt:lpstr>
      <vt:lpstr>Erlang B table</vt:lpstr>
      <vt:lpstr>Macroeconomic data</vt:lpstr>
      <vt:lpstr>Lists</vt:lpstr>
      <vt:lpstr>Operator data &gt;&gt;&gt;&gt;&gt;&gt;</vt:lpstr>
      <vt:lpstr>Operator - Confidential</vt:lpstr>
      <vt:lpstr>access_sbc_hardware</vt:lpstr>
      <vt:lpstr>access_sbc_software</vt:lpstr>
      <vt:lpstr>as_hardware</vt:lpstr>
      <vt:lpstr>as_software</vt:lpstr>
      <vt:lpstr>busy_hour_call_attempts</vt:lpstr>
      <vt:lpstr>busy_hour_call_attempts_noincoming</vt:lpstr>
      <vt:lpstr>busy_hour_perc</vt:lpstr>
      <vt:lpstr>cdf_hardware</vt:lpstr>
      <vt:lpstr>cdf_software</vt:lpstr>
      <vt:lpstr>core_costs</vt:lpstr>
      <vt:lpstr>core_costs_noincoming</vt:lpstr>
      <vt:lpstr>core_elements</vt:lpstr>
      <vt:lpstr>core_increm</vt:lpstr>
      <vt:lpstr>core_increm_noincoming</vt:lpstr>
      <vt:lpstr>core_number</vt:lpstr>
      <vt:lpstr>core_number_noincoming_voice</vt:lpstr>
      <vt:lpstr>core_total_costs</vt:lpstr>
      <vt:lpstr>core_total_costs_noincoming</vt:lpstr>
      <vt:lpstr>core_unit_opex</vt:lpstr>
      <vt:lpstr>currency_scenario</vt:lpstr>
      <vt:lpstr>debt_perc</vt:lpstr>
      <vt:lpstr>Depreciation_straightline</vt:lpstr>
      <vt:lpstr>EUR.USD_rate</vt:lpstr>
      <vt:lpstr>fixed_calls_per_hour</vt:lpstr>
      <vt:lpstr>fixed_calls_per_hour_noincoming</vt:lpstr>
      <vt:lpstr>fixed_calls_per_hour_onnet_factor</vt:lpstr>
      <vt:lpstr>fixed_calls_per_hour_onnet_factor_noincoming</vt:lpstr>
      <vt:lpstr>fixed_calls_persecond</vt:lpstr>
      <vt:lpstr>fixed_calls_persecond_noincoming</vt:lpstr>
      <vt:lpstr>fixed_calls_persecond_onnet_factor</vt:lpstr>
      <vt:lpstr>fixed_calls_persecond_onnet_factor_noincoming</vt:lpstr>
      <vt:lpstr>fixed_calls_service</vt:lpstr>
      <vt:lpstr>fixed_calls_service_onnet_factor</vt:lpstr>
      <vt:lpstr>fixed_minutes</vt:lpstr>
      <vt:lpstr>fixed_minutes_busy_hour</vt:lpstr>
      <vt:lpstr>fixed_minutes_busy_hour_onnet_factor</vt:lpstr>
      <vt:lpstr>fixed_minutes_incoming</vt:lpstr>
      <vt:lpstr>fixed_services</vt:lpstr>
      <vt:lpstr>growth_scenarios</vt:lpstr>
      <vt:lpstr>idle_time</vt:lpstr>
      <vt:lpstr>inflation</vt:lpstr>
      <vt:lpstr>inflation_index</vt:lpstr>
      <vt:lpstr>interr_cscf_hardware</vt:lpstr>
      <vt:lpstr>interr_cscf_software</vt:lpstr>
      <vt:lpstr>ix_sbc_hardware</vt:lpstr>
      <vt:lpstr>ix_sbc_software</vt:lpstr>
      <vt:lpstr>lraic_plus_revenues</vt:lpstr>
      <vt:lpstr>lraic_revenues</vt:lpstr>
      <vt:lpstr>lric_revenues</vt:lpstr>
      <vt:lpstr>max_load</vt:lpstr>
      <vt:lpstr>mins_call</vt:lpstr>
      <vt:lpstr>mins_hour</vt:lpstr>
      <vt:lpstr>mrf_hardware</vt:lpstr>
      <vt:lpstr>mrf_software</vt:lpstr>
      <vt:lpstr>onnet_factor</vt:lpstr>
      <vt:lpstr>proxy_cscf_hardware</vt:lpstr>
      <vt:lpstr>proxy_cscf_software</vt:lpstr>
      <vt:lpstr>pure_lric</vt:lpstr>
      <vt:lpstr>redundancy</vt:lpstr>
      <vt:lpstr>sec_minute</vt:lpstr>
      <vt:lpstr>serve_cscf_hardware</vt:lpstr>
      <vt:lpstr>serve_cscf_software</vt:lpstr>
      <vt:lpstr>share_operator</vt:lpstr>
      <vt:lpstr>time_index</vt:lpstr>
      <vt:lpstr>unit_costs_core_capex</vt:lpstr>
      <vt:lpstr>unit_costs_core_opex</vt:lpstr>
      <vt:lpstr>unsuccessful_calls_perc</vt:lpstr>
      <vt:lpstr>wacc_index</vt:lpstr>
      <vt:lpstr>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Hawthorne</dc:creator>
  <cp:keywords/>
  <dc:description/>
  <cp:lastModifiedBy>Megan Friday</cp:lastModifiedBy>
  <cp:revision/>
  <dcterms:created xsi:type="dcterms:W3CDTF">2022-04-26T08:04:10Z</dcterms:created>
  <dcterms:modified xsi:type="dcterms:W3CDTF">2023-09-07T09:20:38Z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0x010100D67E4670575D9E43A0D0956D52CCF417</vt:lpwstr>
  </property>
  <property fmtid="{D5CDD505-2E9C-101B-9397-08002B2CF9AE}" pid="3" name="MediaServiceImageTags">
    <vt:lpwstr/>
  </property>
</Properties>
</file>